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USUARIO\Desktop\CTS\"/>
    </mc:Choice>
  </mc:AlternateContent>
  <bookViews>
    <workbookView xWindow="0" yWindow="0" windowWidth="20490" windowHeight="7755" tabRatio="827"/>
  </bookViews>
  <sheets>
    <sheet name="TABLAS" sheetId="3" r:id="rId1"/>
    <sheet name="BOLETA" sheetId="7" r:id="rId2"/>
    <sheet name="Hoja1" sheetId="8" state="hidden" r:id="rId3"/>
  </sheets>
  <externalReferences>
    <externalReference r:id="rId4"/>
    <externalReference r:id="rId5"/>
  </externalReferences>
  <definedNames>
    <definedName name="_TC10" localSheetId="1">'[1]FLUJO  '!#REF!</definedName>
    <definedName name="_TC10">'[1]FLUJO  '!#REF!</definedName>
    <definedName name="ACT">[2]MAY!$L$4</definedName>
    <definedName name="_xlnm.Print_Area" localSheetId="1">BOLETA!$A$3:$AA$54</definedName>
    <definedName name="BIE">[2]MAY!$M$4</definedName>
    <definedName name="CAR">[2]MAY!$O$4</definedName>
    <definedName name="Centenas">{"";"c";"dosc";"tresc";"cuatroc";"quin";"seisc";"setec";"ochoc";"novec"}&amp;"ient"</definedName>
    <definedName name="Decenas">{"";"";"";"trei";"cuare";"cincue";"sese";"sete";"oche";"nove"}&amp;"nta "</definedName>
    <definedName name="DF">'[1]FLUJO  '!#REF!</definedName>
    <definedName name="EXO">[2]MAY!$P$4</definedName>
    <definedName name="PROV">'[2]BASE PROV'!$A$3:$B$300</definedName>
    <definedName name="Quincenas">{"";"diez";"once";"doce";"trece";"catorce";"quince"}&amp;" "</definedName>
    <definedName name="REGIMEN">TABLAS!$U$2:$U$3</definedName>
    <definedName name="SER">[2]MAY!$N$4</definedName>
    <definedName name="TAB">TABLAS!$A$4:$O$138</definedName>
    <definedName name="Unidades">{"";"un";"dos";"tres";"cuatro";"cinco";"seis";"siete";"ocho";"nueve"}</definedName>
  </definedNames>
  <calcPr calcId="152511"/>
</workbook>
</file>

<file path=xl/calcChain.xml><?xml version="1.0" encoding="utf-8"?>
<calcChain xmlns="http://schemas.openxmlformats.org/spreadsheetml/2006/main">
  <c r="P8" i="3" l="1"/>
  <c r="P9" i="3"/>
  <c r="P10" i="3"/>
  <c r="P11" i="3"/>
  <c r="P12" i="3"/>
  <c r="P13" i="3"/>
  <c r="P14" i="3"/>
  <c r="P15" i="3"/>
  <c r="P16" i="3"/>
  <c r="P17" i="3"/>
  <c r="P18" i="3"/>
  <c r="P19" i="3"/>
  <c r="P20" i="3"/>
  <c r="P21" i="3"/>
  <c r="P22" i="3"/>
  <c r="P23" i="3"/>
  <c r="P24" i="3"/>
  <c r="P25" i="3"/>
  <c r="P26" i="3"/>
  <c r="P27" i="3"/>
  <c r="P28" i="3"/>
  <c r="P29" i="3"/>
  <c r="P30" i="3"/>
  <c r="P31" i="3"/>
  <c r="P32" i="3"/>
  <c r="P33" i="3"/>
  <c r="P34" i="3"/>
  <c r="P35" i="3"/>
  <c r="P36" i="3"/>
  <c r="P37" i="3"/>
  <c r="P38" i="3"/>
  <c r="P39" i="3"/>
  <c r="P40" i="3"/>
  <c r="P41" i="3"/>
  <c r="P42" i="3"/>
  <c r="P43" i="3"/>
  <c r="P44" i="3"/>
  <c r="P45" i="3"/>
  <c r="P46" i="3"/>
  <c r="P47" i="3"/>
  <c r="P48" i="3"/>
  <c r="P49" i="3"/>
  <c r="P50" i="3"/>
  <c r="P51" i="3"/>
  <c r="P52" i="3"/>
  <c r="P53" i="3"/>
  <c r="P54" i="3"/>
  <c r="P55" i="3"/>
  <c r="P56" i="3"/>
  <c r="P57" i="3"/>
  <c r="P58" i="3"/>
  <c r="P59" i="3"/>
  <c r="P60" i="3"/>
  <c r="P61" i="3"/>
  <c r="P62" i="3"/>
  <c r="P63" i="3"/>
  <c r="P64" i="3"/>
  <c r="P65" i="3"/>
  <c r="P66" i="3"/>
  <c r="P67" i="3"/>
  <c r="P68" i="3"/>
  <c r="P69" i="3"/>
  <c r="P70" i="3"/>
  <c r="P71" i="3"/>
  <c r="P72" i="3"/>
  <c r="P73" i="3"/>
  <c r="P74" i="3"/>
  <c r="P75" i="3"/>
  <c r="P76" i="3"/>
  <c r="P77" i="3"/>
  <c r="P78" i="3"/>
  <c r="P79" i="3"/>
  <c r="P80" i="3"/>
  <c r="P81" i="3"/>
  <c r="P82" i="3"/>
  <c r="P83" i="3"/>
  <c r="P84" i="3"/>
  <c r="P85" i="3"/>
  <c r="P86" i="3"/>
  <c r="P87" i="3"/>
  <c r="P88" i="3"/>
  <c r="P89" i="3"/>
  <c r="P90" i="3"/>
  <c r="P91" i="3"/>
  <c r="P92" i="3"/>
  <c r="P93" i="3"/>
  <c r="P94" i="3"/>
  <c r="P95" i="3"/>
  <c r="P96" i="3"/>
  <c r="P97" i="3"/>
  <c r="P98" i="3"/>
  <c r="P99" i="3"/>
  <c r="P100" i="3"/>
  <c r="P101" i="3"/>
  <c r="P102" i="3"/>
  <c r="P103" i="3"/>
  <c r="P104" i="3"/>
  <c r="P105" i="3"/>
  <c r="P106" i="3"/>
  <c r="P107" i="3"/>
  <c r="P108" i="3"/>
  <c r="P109" i="3"/>
  <c r="P110" i="3"/>
  <c r="P111" i="3"/>
  <c r="P112" i="3"/>
  <c r="P113" i="3"/>
  <c r="P114" i="3"/>
  <c r="P115" i="3"/>
  <c r="P116" i="3"/>
  <c r="P117" i="3"/>
  <c r="P118" i="3"/>
  <c r="P119" i="3"/>
  <c r="P120" i="3"/>
  <c r="P121" i="3"/>
  <c r="P122" i="3"/>
  <c r="P123" i="3"/>
  <c r="P124" i="3"/>
  <c r="P125" i="3"/>
  <c r="P126" i="3"/>
  <c r="P127" i="3"/>
  <c r="P128" i="3"/>
  <c r="P129" i="3"/>
  <c r="P130" i="3"/>
  <c r="P131" i="3"/>
  <c r="P132" i="3"/>
  <c r="P133" i="3"/>
  <c r="P134" i="3"/>
  <c r="P135" i="3"/>
  <c r="P136" i="3"/>
  <c r="P137" i="3"/>
  <c r="P138" i="3"/>
  <c r="P7" i="3"/>
  <c r="P6" i="3"/>
  <c r="T3" i="3"/>
  <c r="T2" i="3"/>
  <c r="G19" i="7"/>
  <c r="V11" i="7"/>
  <c r="E11" i="7"/>
  <c r="E30" i="7" s="1"/>
  <c r="G44" i="7"/>
  <c r="Z44" i="7" s="1"/>
  <c r="C53" i="7"/>
  <c r="T53" i="7" s="1"/>
  <c r="C52" i="7"/>
  <c r="T52" i="7" s="1"/>
  <c r="C47" i="7"/>
  <c r="T47" i="7" s="1"/>
  <c r="E27" i="7" l="1"/>
  <c r="Y44" i="7"/>
  <c r="E29" i="7"/>
  <c r="G25" i="7"/>
  <c r="X25" i="7"/>
  <c r="R137" i="3"/>
  <c r="E137" i="3"/>
  <c r="N137" i="3" s="1"/>
  <c r="I138" i="3"/>
  <c r="H138" i="3"/>
  <c r="J138" i="3"/>
  <c r="M137" i="3" l="1"/>
  <c r="Q137" i="3" s="1"/>
  <c r="S137" i="3" s="1"/>
  <c r="E128" i="3"/>
  <c r="N128" i="3" s="1"/>
  <c r="R128" i="3"/>
  <c r="E122" i="3"/>
  <c r="M122" i="3" s="1"/>
  <c r="R122" i="3"/>
  <c r="E123" i="3"/>
  <c r="M123" i="3" s="1"/>
  <c r="R123" i="3"/>
  <c r="E124" i="3"/>
  <c r="M124" i="3" s="1"/>
  <c r="R124" i="3"/>
  <c r="E125" i="3"/>
  <c r="M125" i="3" s="1"/>
  <c r="R125" i="3"/>
  <c r="E126" i="3"/>
  <c r="M126" i="3" s="1"/>
  <c r="R126" i="3"/>
  <c r="E127" i="3"/>
  <c r="M127" i="3" s="1"/>
  <c r="R127" i="3"/>
  <c r="N124" i="3" l="1"/>
  <c r="Q124" i="3" s="1"/>
  <c r="S124" i="3" s="1"/>
  <c r="M128" i="3"/>
  <c r="Q128" i="3" s="1"/>
  <c r="S128" i="3" s="1"/>
  <c r="N126" i="3"/>
  <c r="Q126" i="3" s="1"/>
  <c r="S126" i="3" s="1"/>
  <c r="N125" i="3"/>
  <c r="Q125" i="3" s="1"/>
  <c r="S125" i="3" s="1"/>
  <c r="N127" i="3"/>
  <c r="Q127" i="3" s="1"/>
  <c r="S127" i="3" s="1"/>
  <c r="N123" i="3"/>
  <c r="Q123" i="3" s="1"/>
  <c r="S123" i="3" s="1"/>
  <c r="N122" i="3"/>
  <c r="Q122" i="3" s="1"/>
  <c r="S122" i="3" s="1"/>
  <c r="E104" i="3"/>
  <c r="M104" i="3" s="1"/>
  <c r="R104" i="3"/>
  <c r="E105" i="3"/>
  <c r="M105" i="3" s="1"/>
  <c r="R105" i="3"/>
  <c r="E106" i="3"/>
  <c r="M106" i="3" s="1"/>
  <c r="R106" i="3"/>
  <c r="E107" i="3"/>
  <c r="M107" i="3" s="1"/>
  <c r="R107" i="3"/>
  <c r="E108" i="3"/>
  <c r="M108" i="3" s="1"/>
  <c r="R108" i="3"/>
  <c r="E109" i="3"/>
  <c r="M109" i="3" s="1"/>
  <c r="R109" i="3"/>
  <c r="E110" i="3"/>
  <c r="M110" i="3" s="1"/>
  <c r="R110" i="3"/>
  <c r="E111" i="3"/>
  <c r="M111" i="3" s="1"/>
  <c r="R111" i="3"/>
  <c r="E112" i="3"/>
  <c r="M112" i="3" s="1"/>
  <c r="R112" i="3"/>
  <c r="E113" i="3"/>
  <c r="M113" i="3" s="1"/>
  <c r="R113" i="3"/>
  <c r="E114" i="3"/>
  <c r="M114" i="3" s="1"/>
  <c r="R114" i="3"/>
  <c r="E115" i="3"/>
  <c r="M115" i="3" s="1"/>
  <c r="R115" i="3"/>
  <c r="E116" i="3"/>
  <c r="M116" i="3" s="1"/>
  <c r="R116" i="3"/>
  <c r="E117" i="3"/>
  <c r="M117" i="3" s="1"/>
  <c r="R117" i="3"/>
  <c r="E118" i="3"/>
  <c r="M118" i="3" s="1"/>
  <c r="R118" i="3"/>
  <c r="E119" i="3"/>
  <c r="M119" i="3" s="1"/>
  <c r="R119" i="3"/>
  <c r="E120" i="3"/>
  <c r="M120" i="3" s="1"/>
  <c r="R120" i="3"/>
  <c r="E121" i="3"/>
  <c r="M121" i="3" s="1"/>
  <c r="R121" i="3"/>
  <c r="E129" i="3"/>
  <c r="M129" i="3"/>
  <c r="N129" i="3"/>
  <c r="R129" i="3"/>
  <c r="N121" i="3" l="1"/>
  <c r="N120" i="3"/>
  <c r="N119" i="3"/>
  <c r="Q119" i="3" s="1"/>
  <c r="S119" i="3" s="1"/>
  <c r="N118" i="3"/>
  <c r="Q118" i="3" s="1"/>
  <c r="S118" i="3" s="1"/>
  <c r="N115" i="3"/>
  <c r="N114" i="3"/>
  <c r="N113" i="3"/>
  <c r="Q113" i="3" s="1"/>
  <c r="S113" i="3" s="1"/>
  <c r="N112" i="3"/>
  <c r="Q112" i="3" s="1"/>
  <c r="S112" i="3" s="1"/>
  <c r="N111" i="3"/>
  <c r="Q111" i="3" s="1"/>
  <c r="S111" i="3" s="1"/>
  <c r="N110" i="3"/>
  <c r="N109" i="3"/>
  <c r="Q109" i="3" s="1"/>
  <c r="S109" i="3" s="1"/>
  <c r="N108" i="3"/>
  <c r="Q108" i="3" s="1"/>
  <c r="S108" i="3" s="1"/>
  <c r="N107" i="3"/>
  <c r="Q107" i="3" s="1"/>
  <c r="S107" i="3" s="1"/>
  <c r="N106" i="3"/>
  <c r="N105" i="3"/>
  <c r="Q105" i="3" s="1"/>
  <c r="S105" i="3" s="1"/>
  <c r="Q121" i="3"/>
  <c r="S121" i="3" s="1"/>
  <c r="N117" i="3"/>
  <c r="N116" i="3"/>
  <c r="Q116" i="3" s="1"/>
  <c r="S116" i="3" s="1"/>
  <c r="N104" i="3"/>
  <c r="Q104" i="3" s="1"/>
  <c r="S104" i="3" s="1"/>
  <c r="Q117" i="3"/>
  <c r="S117" i="3" s="1"/>
  <c r="Q115" i="3"/>
  <c r="S115" i="3" s="1"/>
  <c r="Q129" i="3"/>
  <c r="S129" i="3" s="1"/>
  <c r="Q120" i="3"/>
  <c r="S120" i="3" s="1"/>
  <c r="Q114" i="3"/>
  <c r="S114" i="3" s="1"/>
  <c r="Q110" i="3"/>
  <c r="S110" i="3" s="1"/>
  <c r="Q106" i="3"/>
  <c r="S106" i="3" s="1"/>
  <c r="R7" i="3" l="1"/>
  <c r="R8" i="3"/>
  <c r="R9" i="3"/>
  <c r="R10" i="3"/>
  <c r="R11" i="3"/>
  <c r="R12" i="3"/>
  <c r="R13" i="3"/>
  <c r="R14" i="3"/>
  <c r="R15" i="3"/>
  <c r="R16" i="3"/>
  <c r="R17" i="3"/>
  <c r="R18" i="3"/>
  <c r="R19" i="3"/>
  <c r="R20" i="3"/>
  <c r="R21" i="3"/>
  <c r="R22" i="3"/>
  <c r="R23" i="3"/>
  <c r="R24" i="3"/>
  <c r="R25" i="3"/>
  <c r="R26" i="3"/>
  <c r="R27" i="3"/>
  <c r="R28" i="3"/>
  <c r="R29" i="3"/>
  <c r="R30" i="3"/>
  <c r="R31" i="3"/>
  <c r="R32" i="3"/>
  <c r="R33" i="3"/>
  <c r="R34" i="3"/>
  <c r="R35" i="3"/>
  <c r="R36" i="3"/>
  <c r="R37" i="3"/>
  <c r="R38" i="3"/>
  <c r="R39" i="3"/>
  <c r="R40" i="3"/>
  <c r="R41" i="3"/>
  <c r="R42" i="3"/>
  <c r="R43" i="3"/>
  <c r="R44" i="3"/>
  <c r="R45" i="3"/>
  <c r="R46" i="3"/>
  <c r="R47" i="3"/>
  <c r="R48" i="3"/>
  <c r="R49" i="3"/>
  <c r="R50" i="3"/>
  <c r="R51" i="3"/>
  <c r="R52" i="3"/>
  <c r="R53" i="3"/>
  <c r="R54" i="3"/>
  <c r="R55" i="3"/>
  <c r="R56" i="3"/>
  <c r="R57" i="3"/>
  <c r="R58" i="3"/>
  <c r="R59" i="3"/>
  <c r="R60" i="3"/>
  <c r="R61" i="3"/>
  <c r="R62" i="3"/>
  <c r="R63" i="3"/>
  <c r="R64" i="3"/>
  <c r="R65" i="3"/>
  <c r="R66" i="3"/>
  <c r="R67" i="3"/>
  <c r="R68" i="3"/>
  <c r="R69" i="3"/>
  <c r="R70" i="3"/>
  <c r="R71" i="3"/>
  <c r="R72" i="3"/>
  <c r="R73" i="3"/>
  <c r="R74" i="3"/>
  <c r="R75" i="3"/>
  <c r="R76" i="3"/>
  <c r="R77" i="3"/>
  <c r="R78" i="3"/>
  <c r="R79" i="3"/>
  <c r="R80" i="3"/>
  <c r="R81" i="3"/>
  <c r="R82" i="3"/>
  <c r="R83" i="3"/>
  <c r="R84" i="3"/>
  <c r="R85" i="3"/>
  <c r="R86" i="3"/>
  <c r="R87" i="3"/>
  <c r="R88" i="3"/>
  <c r="R89" i="3"/>
  <c r="R90" i="3"/>
  <c r="R91" i="3"/>
  <c r="R92" i="3"/>
  <c r="R93" i="3"/>
  <c r="R94" i="3"/>
  <c r="R95" i="3"/>
  <c r="R96" i="3"/>
  <c r="R97" i="3"/>
  <c r="R98" i="3"/>
  <c r="R99" i="3"/>
  <c r="R100" i="3"/>
  <c r="R101" i="3"/>
  <c r="R102" i="3"/>
  <c r="R103" i="3"/>
  <c r="R130" i="3"/>
  <c r="R131" i="3"/>
  <c r="R132" i="3"/>
  <c r="R133" i="3"/>
  <c r="R134" i="3"/>
  <c r="R135" i="3"/>
  <c r="R136" i="3"/>
  <c r="R6" i="3"/>
  <c r="E32" i="3"/>
  <c r="M32" i="3"/>
  <c r="N32" i="3"/>
  <c r="E91" i="3"/>
  <c r="M91" i="3" s="1"/>
  <c r="E135" i="3"/>
  <c r="M135" i="3"/>
  <c r="N135" i="3"/>
  <c r="E63" i="3"/>
  <c r="M63" i="3"/>
  <c r="N63" i="3"/>
  <c r="E136" i="3"/>
  <c r="M136" i="3"/>
  <c r="N136" i="3"/>
  <c r="N91" i="3" l="1"/>
  <c r="Q136" i="3"/>
  <c r="S136" i="3" s="1"/>
  <c r="Q63" i="3"/>
  <c r="Q91" i="3"/>
  <c r="Q135" i="3"/>
  <c r="Q32" i="3"/>
  <c r="S135" i="3" l="1"/>
  <c r="V7" i="7"/>
  <c r="I1" i="7"/>
  <c r="X19" i="7" s="1"/>
  <c r="E7" i="7"/>
  <c r="E89" i="3" l="1"/>
  <c r="M89" i="3" s="1"/>
  <c r="N89" i="3" l="1"/>
  <c r="Q89" i="3" s="1"/>
  <c r="X18" i="7" l="1"/>
  <c r="X28" i="7" s="1"/>
  <c r="V8" i="7"/>
  <c r="W52" i="7" s="1"/>
  <c r="V38" i="7"/>
  <c r="V10" i="7"/>
  <c r="X21" i="7"/>
  <c r="X30" i="7" s="1"/>
  <c r="X20" i="7"/>
  <c r="X29" i="7" s="1"/>
  <c r="S38" i="7"/>
  <c r="E9" i="3" l="1"/>
  <c r="M9" i="3" s="1"/>
  <c r="E62" i="3"/>
  <c r="M62" i="3" s="1"/>
  <c r="N62" i="3" l="1"/>
  <c r="Q62" i="3" s="1"/>
  <c r="N9" i="3"/>
  <c r="Q9" i="3" s="1"/>
  <c r="E83" i="3" l="1"/>
  <c r="E131" i="3"/>
  <c r="E22" i="3"/>
  <c r="E61" i="3"/>
  <c r="M61" i="3" s="1"/>
  <c r="E28" i="3"/>
  <c r="M28" i="3" s="1"/>
  <c r="M83" i="3"/>
  <c r="N83" i="3"/>
  <c r="M131" i="3"/>
  <c r="N131" i="3"/>
  <c r="M22" i="3"/>
  <c r="N22" i="3"/>
  <c r="N28" i="3" l="1"/>
  <c r="N61" i="3"/>
  <c r="Q61" i="3" s="1"/>
  <c r="S91" i="3" s="1"/>
  <c r="Q28" i="3"/>
  <c r="S62" i="3" s="1"/>
  <c r="Q22" i="3"/>
  <c r="Q83" i="3"/>
  <c r="Q131" i="3"/>
  <c r="E49" i="3"/>
  <c r="M49" i="3" s="1"/>
  <c r="E57" i="3"/>
  <c r="M57" i="3" s="1"/>
  <c r="E21" i="3"/>
  <c r="M21" i="3" s="1"/>
  <c r="E77" i="3"/>
  <c r="M77" i="3" s="1"/>
  <c r="E52" i="3"/>
  <c r="M52" i="3" s="1"/>
  <c r="E85" i="3"/>
  <c r="M85" i="3" s="1"/>
  <c r="N49" i="3" l="1"/>
  <c r="N21" i="3"/>
  <c r="N57" i="3"/>
  <c r="Q57" i="3" s="1"/>
  <c r="Q21" i="3"/>
  <c r="Q49" i="3"/>
  <c r="N85" i="3"/>
  <c r="Q85" i="3" s="1"/>
  <c r="N52" i="3"/>
  <c r="Q52" i="3" s="1"/>
  <c r="N77" i="3"/>
  <c r="Q77" i="3" s="1"/>
  <c r="G20" i="7"/>
  <c r="L20" i="7" s="1"/>
  <c r="M20" i="7" s="1"/>
  <c r="N44" i="3"/>
  <c r="E44" i="3"/>
  <c r="E33" i="3"/>
  <c r="M33" i="3" s="1"/>
  <c r="E48" i="3"/>
  <c r="E79" i="3"/>
  <c r="M79" i="3" s="1"/>
  <c r="E103" i="3"/>
  <c r="N103" i="3" s="1"/>
  <c r="E51" i="3"/>
  <c r="M51" i="3" s="1"/>
  <c r="E19" i="3"/>
  <c r="N19" i="3" s="1"/>
  <c r="E7" i="3"/>
  <c r="M7" i="3" s="1"/>
  <c r="E46" i="3"/>
  <c r="N46" i="3" s="1"/>
  <c r="E65" i="3"/>
  <c r="M65" i="3" s="1"/>
  <c r="E69" i="3"/>
  <c r="N69" i="3" s="1"/>
  <c r="E72" i="3"/>
  <c r="M72" i="3" s="1"/>
  <c r="N56" i="3"/>
  <c r="M56" i="3"/>
  <c r="E56" i="3"/>
  <c r="N80" i="3"/>
  <c r="M80" i="3"/>
  <c r="E80" i="3"/>
  <c r="N55" i="3"/>
  <c r="M55" i="3"/>
  <c r="E55" i="3"/>
  <c r="E78" i="3"/>
  <c r="N78" i="3" s="1"/>
  <c r="N41" i="3"/>
  <c r="M41" i="3"/>
  <c r="E41" i="3"/>
  <c r="E100" i="3"/>
  <c r="N100" i="3" s="1"/>
  <c r="N84" i="3"/>
  <c r="M84" i="3"/>
  <c r="E84" i="3"/>
  <c r="M134" i="3"/>
  <c r="E134" i="3"/>
  <c r="N134" i="3" s="1"/>
  <c r="N12" i="3"/>
  <c r="M12" i="3"/>
  <c r="E12" i="3"/>
  <c r="M64" i="3"/>
  <c r="E64" i="3"/>
  <c r="N64" i="3" s="1"/>
  <c r="M70" i="3"/>
  <c r="E70" i="3"/>
  <c r="N70" i="3" s="1"/>
  <c r="N96" i="3"/>
  <c r="M96" i="3"/>
  <c r="E96" i="3"/>
  <c r="N40" i="3"/>
  <c r="M40" i="3"/>
  <c r="E40" i="3"/>
  <c r="N6" i="3"/>
  <c r="M6" i="3"/>
  <c r="E6" i="3"/>
  <c r="E86" i="3"/>
  <c r="M86" i="3" s="1"/>
  <c r="E38" i="3"/>
  <c r="N38" i="3" s="1"/>
  <c r="N20" i="3"/>
  <c r="M20" i="3"/>
  <c r="E20" i="3"/>
  <c r="N82" i="3"/>
  <c r="M82" i="3"/>
  <c r="E82" i="3"/>
  <c r="E98" i="3"/>
  <c r="N98" i="3" s="1"/>
  <c r="M73" i="3"/>
  <c r="E73" i="3"/>
  <c r="N73" i="3" s="1"/>
  <c r="N81" i="3"/>
  <c r="M81" i="3"/>
  <c r="E81" i="3"/>
  <c r="E36" i="3"/>
  <c r="N36" i="3" s="1"/>
  <c r="N31" i="3"/>
  <c r="M31" i="3"/>
  <c r="E31" i="3"/>
  <c r="E30" i="3"/>
  <c r="N30" i="3" s="1"/>
  <c r="N15" i="3"/>
  <c r="M15" i="3"/>
  <c r="E15" i="3"/>
  <c r="E59" i="3"/>
  <c r="N59" i="3" s="1"/>
  <c r="E76" i="3"/>
  <c r="M76" i="3" s="1"/>
  <c r="E97" i="3"/>
  <c r="N97" i="3" s="1"/>
  <c r="E58" i="3"/>
  <c r="N58" i="3" s="1"/>
  <c r="N132" i="3"/>
  <c r="M132" i="3"/>
  <c r="E132" i="3"/>
  <c r="N43" i="3"/>
  <c r="M43" i="3"/>
  <c r="E43" i="3"/>
  <c r="E66" i="3"/>
  <c r="N66" i="3" s="1"/>
  <c r="E101" i="3"/>
  <c r="N101" i="3" s="1"/>
  <c r="N17" i="3"/>
  <c r="M17" i="3"/>
  <c r="E17" i="3"/>
  <c r="E42" i="3"/>
  <c r="N42" i="3" s="1"/>
  <c r="E60" i="3"/>
  <c r="N60" i="3" s="1"/>
  <c r="E37" i="3"/>
  <c r="N37" i="3" s="1"/>
  <c r="N29" i="3"/>
  <c r="M29" i="3"/>
  <c r="E29" i="3"/>
  <c r="E102" i="3"/>
  <c r="N102" i="3" s="1"/>
  <c r="E16" i="3"/>
  <c r="N16" i="3" s="1"/>
  <c r="M71" i="3"/>
  <c r="E71" i="3"/>
  <c r="N71" i="3" s="1"/>
  <c r="E90" i="3"/>
  <c r="N90" i="3" s="1"/>
  <c r="E39" i="3"/>
  <c r="N39" i="3" s="1"/>
  <c r="N13" i="3"/>
  <c r="M13" i="3"/>
  <c r="E13" i="3"/>
  <c r="E11" i="3"/>
  <c r="M11" i="3" s="1"/>
  <c r="E92" i="3"/>
  <c r="N92" i="3" s="1"/>
  <c r="M54" i="3"/>
  <c r="E54" i="3"/>
  <c r="N54" i="3" s="1"/>
  <c r="N23" i="3"/>
  <c r="M23" i="3"/>
  <c r="E23" i="3"/>
  <c r="N53" i="3"/>
  <c r="M53" i="3"/>
  <c r="E53" i="3"/>
  <c r="E87" i="3"/>
  <c r="M87" i="3" s="1"/>
  <c r="N25" i="3"/>
  <c r="M25" i="3"/>
  <c r="E25" i="3"/>
  <c r="E95" i="3"/>
  <c r="M95" i="3" s="1"/>
  <c r="M133" i="3"/>
  <c r="E133" i="3"/>
  <c r="N133" i="3" s="1"/>
  <c r="N130" i="3"/>
  <c r="M130" i="3"/>
  <c r="E130" i="3"/>
  <c r="N75" i="3"/>
  <c r="M75" i="3"/>
  <c r="E75" i="3"/>
  <c r="E99" i="3"/>
  <c r="N99" i="3" s="1"/>
  <c r="M74" i="3"/>
  <c r="E74" i="3"/>
  <c r="N74" i="3" s="1"/>
  <c r="E10" i="3"/>
  <c r="N10" i="3" s="1"/>
  <c r="E50" i="3"/>
  <c r="N50" i="3" s="1"/>
  <c r="E94" i="3"/>
  <c r="N94" i="3" s="1"/>
  <c r="E45" i="3"/>
  <c r="N45" i="3" s="1"/>
  <c r="E67" i="3"/>
  <c r="M67" i="3" s="1"/>
  <c r="E47" i="3"/>
  <c r="M47" i="3" s="1"/>
  <c r="E35" i="3"/>
  <c r="N35" i="3" s="1"/>
  <c r="E88" i="3"/>
  <c r="N88" i="3" s="1"/>
  <c r="N8" i="3"/>
  <c r="M8" i="3"/>
  <c r="E8" i="3"/>
  <c r="M10" i="3" l="1"/>
  <c r="Q10" i="3" s="1"/>
  <c r="N47" i="3"/>
  <c r="M97" i="3"/>
  <c r="Q97" i="3" s="1"/>
  <c r="M99" i="3"/>
  <c r="Q99" i="3" s="1"/>
  <c r="M88" i="3"/>
  <c r="Q88" i="3" s="1"/>
  <c r="S28" i="3" s="1"/>
  <c r="M90" i="3"/>
  <c r="Q90" i="3" s="1"/>
  <c r="M50" i="3"/>
  <c r="Q50" i="3" s="1"/>
  <c r="M92" i="3"/>
  <c r="Q92" i="3" s="1"/>
  <c r="M102" i="3"/>
  <c r="Q102" i="3" s="1"/>
  <c r="M100" i="3"/>
  <c r="Q100" i="3" s="1"/>
  <c r="N87" i="3"/>
  <c r="Q87" i="3" s="1"/>
  <c r="N76" i="3"/>
  <c r="Q76" i="3" s="1"/>
  <c r="N86" i="3"/>
  <c r="Q86" i="3" s="1"/>
  <c r="N95" i="3"/>
  <c r="Q95" i="3" s="1"/>
  <c r="N67" i="3"/>
  <c r="Q67" i="3" s="1"/>
  <c r="M66" i="3"/>
  <c r="Q66" i="3" s="1"/>
  <c r="M58" i="3"/>
  <c r="Q58" i="3" s="1"/>
  <c r="S49" i="3"/>
  <c r="S57" i="3"/>
  <c r="M60" i="3"/>
  <c r="Q60" i="3" s="1"/>
  <c r="M94" i="3"/>
  <c r="Q94" i="3" s="1"/>
  <c r="S32" i="3" s="1"/>
  <c r="M38" i="3"/>
  <c r="Q38" i="3" s="1"/>
  <c r="M35" i="3"/>
  <c r="Q35" i="3" s="1"/>
  <c r="M16" i="3"/>
  <c r="Q16" i="3" s="1"/>
  <c r="M98" i="3"/>
  <c r="Q98" i="3" s="1"/>
  <c r="N48" i="3"/>
  <c r="X17" i="7"/>
  <c r="G17" i="7"/>
  <c r="G27" i="7" s="1"/>
  <c r="N11" i="3"/>
  <c r="Q11" i="3" s="1"/>
  <c r="M45" i="3"/>
  <c r="Q45" i="3" s="1"/>
  <c r="M39" i="3"/>
  <c r="Q39" i="3" s="1"/>
  <c r="M37" i="3"/>
  <c r="Q37" i="3" s="1"/>
  <c r="M42" i="3"/>
  <c r="Q42" i="3" s="1"/>
  <c r="S52" i="3" s="1"/>
  <c r="M101" i="3"/>
  <c r="Q101" i="3" s="1"/>
  <c r="M59" i="3"/>
  <c r="Q59" i="3" s="1"/>
  <c r="M30" i="3"/>
  <c r="Q30" i="3" s="1"/>
  <c r="M36" i="3"/>
  <c r="Q36" i="3" s="1"/>
  <c r="M78" i="3"/>
  <c r="Q78" i="3" s="1"/>
  <c r="S78" i="3" s="1"/>
  <c r="Q6" i="3"/>
  <c r="Q70" i="3"/>
  <c r="Q12" i="3"/>
  <c r="Q41" i="3"/>
  <c r="S41" i="3" s="1"/>
  <c r="Q80" i="3"/>
  <c r="Q8" i="3"/>
  <c r="Q47" i="3"/>
  <c r="S21" i="3" s="1"/>
  <c r="Q74" i="3"/>
  <c r="Q130" i="3"/>
  <c r="Q133" i="3"/>
  <c r="Q53" i="3"/>
  <c r="S85" i="3" s="1"/>
  <c r="Q23" i="3"/>
  <c r="Q13" i="3"/>
  <c r="Q71" i="3"/>
  <c r="Q73" i="3"/>
  <c r="Q20" i="3"/>
  <c r="Q75" i="3"/>
  <c r="Q25" i="3"/>
  <c r="Q54" i="3"/>
  <c r="Q29" i="3"/>
  <c r="S63" i="3" s="1"/>
  <c r="Q17" i="3"/>
  <c r="Q43" i="3"/>
  <c r="Q132" i="3"/>
  <c r="Q15" i="3"/>
  <c r="Q31" i="3"/>
  <c r="Q81" i="3"/>
  <c r="Q82" i="3"/>
  <c r="Q40" i="3"/>
  <c r="Q96" i="3"/>
  <c r="S89" i="3"/>
  <c r="Q64" i="3"/>
  <c r="Q134" i="3"/>
  <c r="Q84" i="3"/>
  <c r="S22" i="3" s="1"/>
  <c r="Q55" i="3"/>
  <c r="Q56" i="3"/>
  <c r="M46" i="3"/>
  <c r="Q46" i="3" s="1"/>
  <c r="S77" i="3" s="1"/>
  <c r="M103" i="3"/>
  <c r="Q103" i="3" s="1"/>
  <c r="M69" i="3"/>
  <c r="Q69" i="3" s="1"/>
  <c r="M19" i="3"/>
  <c r="Q19" i="3" s="1"/>
  <c r="S19" i="3" s="1"/>
  <c r="M48" i="3"/>
  <c r="N72" i="3"/>
  <c r="Q72" i="3" s="1"/>
  <c r="N65" i="3"/>
  <c r="Q65" i="3" s="1"/>
  <c r="N7" i="3"/>
  <c r="Q7" i="3" s="1"/>
  <c r="N51" i="3"/>
  <c r="Q51" i="3" s="1"/>
  <c r="S83" i="3" s="1"/>
  <c r="N79" i="3"/>
  <c r="Q79" i="3" s="1"/>
  <c r="N33" i="3"/>
  <c r="Q33" i="3" s="1"/>
  <c r="G29" i="7"/>
  <c r="L29" i="7"/>
  <c r="V29" i="7" s="1"/>
  <c r="E27" i="3"/>
  <c r="E10" i="7"/>
  <c r="L7" i="7"/>
  <c r="M7" i="7" s="1"/>
  <c r="A13" i="8"/>
  <c r="A14" i="8" s="1"/>
  <c r="A11" i="8"/>
  <c r="A12" i="8" s="1"/>
  <c r="B38" i="7"/>
  <c r="E38" i="7"/>
  <c r="G21" i="7"/>
  <c r="G18" i="7"/>
  <c r="E8" i="7"/>
  <c r="F52" i="7" s="1"/>
  <c r="S6" i="3" l="1"/>
  <c r="S38" i="3"/>
  <c r="S23" i="3"/>
  <c r="S90" i="3"/>
  <c r="S99" i="3"/>
  <c r="S16" i="3"/>
  <c r="S45" i="3"/>
  <c r="S87" i="3"/>
  <c r="S71" i="3"/>
  <c r="S8" i="3"/>
  <c r="S70" i="3"/>
  <c r="S35" i="3"/>
  <c r="S43" i="3"/>
  <c r="S13" i="3"/>
  <c r="S40" i="3"/>
  <c r="S98" i="3"/>
  <c r="S88" i="3"/>
  <c r="S67" i="3"/>
  <c r="S94" i="3"/>
  <c r="S103" i="3"/>
  <c r="S130" i="3"/>
  <c r="S17" i="3"/>
  <c r="S39" i="3"/>
  <c r="S131" i="3"/>
  <c r="S132" i="3"/>
  <c r="S86" i="3"/>
  <c r="S55" i="3"/>
  <c r="S74" i="3"/>
  <c r="S12" i="3"/>
  <c r="S69" i="3"/>
  <c r="S53" i="3"/>
  <c r="S96" i="3"/>
  <c r="S30" i="3"/>
  <c r="S92" i="3"/>
  <c r="S29" i="3"/>
  <c r="S97" i="3"/>
  <c r="S20" i="3"/>
  <c r="S54" i="3"/>
  <c r="S42" i="3"/>
  <c r="S81" i="3"/>
  <c r="S66" i="3"/>
  <c r="S134" i="3"/>
  <c r="S75" i="3"/>
  <c r="S72" i="3"/>
  <c r="S36" i="3"/>
  <c r="S64" i="3"/>
  <c r="S59" i="3"/>
  <c r="S25" i="3"/>
  <c r="S82" i="3"/>
  <c r="S100" i="3"/>
  <c r="S95" i="3"/>
  <c r="S102" i="3"/>
  <c r="S58" i="3"/>
  <c r="S33" i="3"/>
  <c r="S9" i="3"/>
  <c r="S133" i="3"/>
  <c r="S37" i="3"/>
  <c r="S11" i="3"/>
  <c r="S10" i="3"/>
  <c r="S7" i="3"/>
  <c r="S51" i="3"/>
  <c r="S76" i="3"/>
  <c r="S65" i="3"/>
  <c r="S46" i="3"/>
  <c r="S47" i="3"/>
  <c r="S73" i="3"/>
  <c r="S56" i="3"/>
  <c r="S79" i="3"/>
  <c r="Y38" i="7"/>
  <c r="G38" i="7"/>
  <c r="X38" i="7"/>
  <c r="L27" i="7"/>
  <c r="V27" i="7" s="1"/>
  <c r="X27" i="7"/>
  <c r="X22" i="7"/>
  <c r="X33" i="7" s="1"/>
  <c r="X53" i="7"/>
  <c r="V9" i="7"/>
  <c r="E9" i="7"/>
  <c r="G53" i="7"/>
  <c r="Q48" i="3"/>
  <c r="S48" i="3" s="1"/>
  <c r="G22" i="7"/>
  <c r="L28" i="7"/>
  <c r="N28" i="7" s="1"/>
  <c r="M28" i="7" s="1"/>
  <c r="G28" i="7"/>
  <c r="L30" i="7"/>
  <c r="N30" i="7" s="1"/>
  <c r="M30" i="7" s="1"/>
  <c r="G30" i="7"/>
  <c r="N29" i="7"/>
  <c r="M29" i="7" s="1"/>
  <c r="N27" i="3"/>
  <c r="N26" i="3"/>
  <c r="M27" i="3"/>
  <c r="M26" i="3"/>
  <c r="M44" i="3"/>
  <c r="E68" i="3"/>
  <c r="M68" i="3" s="1"/>
  <c r="E24" i="3"/>
  <c r="M24" i="3" s="1"/>
  <c r="E26" i="3"/>
  <c r="E14" i="3"/>
  <c r="N14" i="3" s="1"/>
  <c r="E18" i="3"/>
  <c r="N18" i="3" s="1"/>
  <c r="E93" i="3"/>
  <c r="N93" i="3" s="1"/>
  <c r="E34" i="3"/>
  <c r="N34" i="3" s="1"/>
  <c r="L8" i="7"/>
  <c r="M8" i="7" s="1"/>
  <c r="E12" i="7" s="1"/>
  <c r="V12" i="7" s="1"/>
  <c r="L31" i="7" l="1"/>
  <c r="N31" i="7" s="1"/>
  <c r="M31" i="7" s="1"/>
  <c r="G33" i="7"/>
  <c r="F38" i="7" s="1"/>
  <c r="W38" i="7"/>
  <c r="Z38" i="7" s="1"/>
  <c r="Z40" i="7" s="1"/>
  <c r="N68" i="3"/>
  <c r="Q68" i="3" s="1"/>
  <c r="S101" i="3" s="1"/>
  <c r="Q26" i="3"/>
  <c r="Q27" i="3"/>
  <c r="S61" i="3" s="1"/>
  <c r="N27" i="7"/>
  <c r="M27" i="7" s="1"/>
  <c r="N24" i="3"/>
  <c r="H38" i="7" s="1"/>
  <c r="S80" i="3"/>
  <c r="Q44" i="3"/>
  <c r="M93" i="3"/>
  <c r="Q93" i="3" s="1"/>
  <c r="M18" i="3"/>
  <c r="Q18" i="3" s="1"/>
  <c r="M14" i="3"/>
  <c r="Q14" i="3" s="1"/>
  <c r="M34" i="3"/>
  <c r="Q34" i="3" s="1"/>
  <c r="V30" i="7"/>
  <c r="S31" i="3" l="1"/>
  <c r="S93" i="3"/>
  <c r="S68" i="3"/>
  <c r="S34" i="3"/>
  <c r="S18" i="3"/>
  <c r="S84" i="3"/>
  <c r="S50" i="3"/>
  <c r="S15" i="3"/>
  <c r="S14" i="3"/>
  <c r="S27" i="3"/>
  <c r="S44" i="3"/>
  <c r="S60" i="3"/>
  <c r="S26" i="3"/>
  <c r="Q24" i="3"/>
  <c r="Q138" i="3" s="1"/>
  <c r="I38" i="7"/>
  <c r="I40" i="7" s="1"/>
  <c r="S24" i="3" l="1"/>
  <c r="Q139" i="3"/>
  <c r="A1" i="8"/>
  <c r="S138" i="3" l="1"/>
  <c r="B7" i="8"/>
  <c r="C7" i="8" s="1"/>
  <c r="B13" i="8"/>
  <c r="C13" i="8" s="1"/>
  <c r="B8" i="8"/>
  <c r="C8" i="8" s="1"/>
  <c r="B9" i="8"/>
  <c r="B11" i="8"/>
  <c r="C11" i="8" s="1"/>
  <c r="B10" i="8"/>
  <c r="C10" i="8" s="1"/>
  <c r="C14" i="8" l="1"/>
  <c r="C9" i="8"/>
  <c r="C12" i="8" s="1"/>
  <c r="C16" i="8" l="1"/>
  <c r="C17" i="8" s="1"/>
  <c r="C19" i="8" l="1"/>
  <c r="C1" i="8" s="1"/>
  <c r="C42" i="7" s="1"/>
  <c r="T42" i="7" s="1"/>
  <c r="C18" i="8"/>
</calcChain>
</file>

<file path=xl/sharedStrings.xml><?xml version="1.0" encoding="utf-8"?>
<sst xmlns="http://schemas.openxmlformats.org/spreadsheetml/2006/main" count="792" uniqueCount="91">
  <si>
    <t>:</t>
  </si>
  <si>
    <t>NOMBRES Y APELLIDOS</t>
  </si>
  <si>
    <t>1-</t>
  </si>
  <si>
    <t>Sueldo Básico</t>
  </si>
  <si>
    <t>2-</t>
  </si>
  <si>
    <t>TOTAL REMUNERACION COMPUTABLE</t>
  </si>
  <si>
    <t xml:space="preserve">TOTAL </t>
  </si>
  <si>
    <t>TOTAL A PAGAR</t>
  </si>
  <si>
    <t>FECHA INGRESO</t>
  </si>
  <si>
    <t>SUELDO</t>
  </si>
  <si>
    <t>ASIG FAM.</t>
  </si>
  <si>
    <t xml:space="preserve">APELLIDOS Y NOMBRES </t>
  </si>
  <si>
    <t>GRATIFICACIÓN ORDINARIA</t>
  </si>
  <si>
    <t>MESES COMPUTABLES</t>
  </si>
  <si>
    <t>PERIODO INICIAL DEL COMPUTO</t>
  </si>
  <si>
    <t>BANCO</t>
  </si>
  <si>
    <t>Nº DE CUENTA CORRIENTE</t>
  </si>
  <si>
    <t>DNI</t>
  </si>
  <si>
    <t>Nº DE MESES COMPUTABLES</t>
  </si>
  <si>
    <t>DÍAS COMPUTABLES</t>
  </si>
  <si>
    <t>REM. COMPUTABLE</t>
  </si>
  <si>
    <t>NUMERO CTA. CTS</t>
  </si>
  <si>
    <t>Asignación Familiar</t>
  </si>
  <si>
    <t>Promedio Horas extras</t>
  </si>
  <si>
    <t>Total Horas extras</t>
  </si>
  <si>
    <t>Nº DE DÍAS COMPUTABLES</t>
  </si>
  <si>
    <t>PERIODO FINAL DEL COMPUTO</t>
  </si>
  <si>
    <t xml:space="preserve">CONCEPTOS REMUNERATIVOS COMPUTABLES </t>
  </si>
  <si>
    <t>SON:</t>
  </si>
  <si>
    <t>Nuevo Sol</t>
  </si>
  <si>
    <t>[EN SINGULAR]: Nuevos Soles, libra esterlina, bolivar, euro, dólar, metro cuadrado, etc.</t>
  </si>
  <si>
    <t>centimo</t>
  </si>
  <si>
    <t>[EN SINGULAR]: centavo, penique, centésima, centímetro cuadrado, etc.</t>
  </si>
  <si>
    <t>#</t>
  </si>
  <si>
    <t>SI 'pones' el signo '#' las fracciones son en numerales, si no… en literales ;)</t>
  </si>
  <si>
    <t>Las siguientes fórmulas son:</t>
  </si>
  <si>
    <t>"Re/conversión" de monedas</t>
  </si>
  <si>
    <t>todas minúsculas</t>
  </si>
  <si>
    <t>1 =&gt;</t>
  </si>
  <si>
    <t>Primera letra solamente</t>
  </si>
  <si>
    <t>2 =&gt;</t>
  </si>
  <si>
    <t>Como Nombre Propio</t>
  </si>
  <si>
    <t>3 =&gt;</t>
  </si>
  <si>
    <t>TODAS MAYUSCULAS</t>
  </si>
  <si>
    <t>4 =&gt;</t>
  </si>
  <si>
    <t>Unidades</t>
  </si>
  <si>
    <t>{""\"un"\"dos"\"tres"\"cuatro"\"cinco"\"seis"\"siete"\"ocho"\"nueve"}</t>
  </si>
  <si>
    <t>Quincenas</t>
  </si>
  <si>
    <t>{""\"diez"\"once"\"doce"\"trece"\"catorce"\"quince"}&amp;" "</t>
  </si>
  <si>
    <t>Decenas</t>
  </si>
  <si>
    <t>{""\""\""\"trei"\"cuare"\"cincue"\"sese"\"sete"\"oche"\"nove"}&amp;"nta "</t>
  </si>
  <si>
    <t>Centenas</t>
  </si>
  <si>
    <t>{""\"c"\"dosc"\"tresc"\"cuatroc"\"quin"\"seisc"\"setec"\"ochoc"\"novec"}&amp;"ient"</t>
  </si>
  <si>
    <t>GERENTE GENERAL</t>
  </si>
  <si>
    <t>BANCO DE CREDITO DEL PERU</t>
  </si>
  <si>
    <t>Gartificacion Ordinaria 1/6</t>
  </si>
  <si>
    <t>ENTIDAD A DEPOSITAR</t>
  </si>
  <si>
    <t>REMUNERACION  COMPUTABLE - LEY MYPE</t>
  </si>
  <si>
    <t xml:space="preserve">                                 DNI</t>
  </si>
  <si>
    <t xml:space="preserve">       FECHA DE INGRESO</t>
  </si>
  <si>
    <t xml:space="preserve">  CODIGO TRABAJADOR</t>
  </si>
  <si>
    <t xml:space="preserve"> PERIODO COMPUTABLE</t>
  </si>
  <si>
    <t>MONTO A DEPOSITARSE</t>
  </si>
  <si>
    <t>BASE IMPONIBLE</t>
  </si>
  <si>
    <t>Nº</t>
  </si>
  <si>
    <t>REDON.</t>
  </si>
  <si>
    <t>CODIGO</t>
  </si>
  <si>
    <t>BASE DE GRATIFICACION</t>
  </si>
  <si>
    <t>NOVIEMBRE</t>
  </si>
  <si>
    <t>00000000</t>
  </si>
  <si>
    <t>JUAN CARLOS</t>
  </si>
  <si>
    <t>WEB: WWW.ALERTA-LABORAL.COM</t>
  </si>
  <si>
    <t>FACEBOOK/ALERTALABORALPERU</t>
  </si>
  <si>
    <t>← MES DE DEPOSITO</t>
  </si>
  <si>
    <t>CARGO</t>
  </si>
  <si>
    <t>REPRES.</t>
  </si>
  <si>
    <t>EMPRESA</t>
  </si>
  <si>
    <t>SOL Y MAR SAC</t>
  </si>
  <si>
    <t>ARTURO RODRIGUEZ</t>
  </si>
  <si>
    <t>(Art. 29º, TUO  D. Leg. Nº 650, aprobado por D.S. Nº 001-97-TR)</t>
  </si>
  <si>
    <t>LIQUIDACION SEMESTRAL DE C.T.S</t>
  </si>
  <si>
    <t>FECHA DEPOSITO</t>
  </si>
  <si>
    <t>REGIMEN</t>
  </si>
  <si>
    <t>MYPE</t>
  </si>
  <si>
    <t>GENERAL</t>
  </si>
  <si>
    <t>REGIMEN LABORAL</t>
  </si>
  <si>
    <t>1/6 Gratificación Ordinaria</t>
  </si>
  <si>
    <t>Comisiones</t>
  </si>
  <si>
    <t>PROMEDIO COMISIONES</t>
  </si>
  <si>
    <t>PROMEDIO 
H. EXTRAS</t>
  </si>
  <si>
    <t>000000000000000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</si>
</sst>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quot;S/.&quot;\ * #,##0.00_ ;_ &quot;S/.&quot;\ * \-#,##0.00_ ;_ &quot;S/.&quot;\ * &quot;-&quot;??_ ;_ @_ "/>
    <numFmt numFmtId="43" formatCode="_ * #,##0.00_ ;_ * \-#,##0.00_ ;_ * &quot;-&quot;??_ ;_ @_ "/>
    <numFmt numFmtId="164" formatCode="_([$€-2]\ * #,##0.00_);_([$€-2]\ * \(#,##0.00\);_([$€-2]\ * &quot;-&quot;??_)"/>
    <numFmt numFmtId="165" formatCode="dd\-mm\-yy;@"/>
    <numFmt numFmtId="166" formatCode="&quot;€&quot;#,##0.00"/>
    <numFmt numFmtId="167" formatCode="00"/>
    <numFmt numFmtId="174" formatCode="[$-280A]d&quot; de &quot;mmmm&quot; de &quot;yyyy;@"/>
  </numFmts>
  <fonts count="30" x14ac:knownFonts="1">
    <font>
      <sz val="10"/>
      <name val="Arial"/>
    </font>
    <font>
      <sz val="11"/>
      <color theme="1"/>
      <name val="Calibri"/>
      <family val="2"/>
      <scheme val="minor"/>
    </font>
    <font>
      <sz val="10"/>
      <name val="Arial"/>
      <family val="2"/>
    </font>
    <font>
      <sz val="10"/>
      <name val="Calibri"/>
      <family val="2"/>
      <scheme val="minor"/>
    </font>
    <font>
      <b/>
      <sz val="7"/>
      <name val="Calibri"/>
      <family val="2"/>
      <scheme val="minor"/>
    </font>
    <font>
      <sz val="7"/>
      <name val="Calibri"/>
      <family val="2"/>
      <scheme val="minor"/>
    </font>
    <font>
      <b/>
      <sz val="10"/>
      <name val="Calibri"/>
      <family val="2"/>
      <scheme val="minor"/>
    </font>
    <font>
      <b/>
      <u/>
      <sz val="10"/>
      <name val="Calibri"/>
      <family val="2"/>
      <scheme val="minor"/>
    </font>
    <font>
      <b/>
      <i/>
      <sz val="10"/>
      <name val="Calibri"/>
      <family val="2"/>
      <scheme val="minor"/>
    </font>
    <font>
      <b/>
      <sz val="12"/>
      <name val="Calibri"/>
      <family val="2"/>
      <scheme val="minor"/>
    </font>
    <font>
      <sz val="10"/>
      <color theme="0" tint="-0.34998626667073579"/>
      <name val="Calibri"/>
      <family val="2"/>
      <scheme val="minor"/>
    </font>
    <font>
      <b/>
      <u/>
      <sz val="20"/>
      <name val="Calibri"/>
      <family val="2"/>
      <scheme val="minor"/>
    </font>
    <font>
      <sz val="10"/>
      <color rgb="FFFF0000"/>
      <name val="Calibri"/>
      <family val="2"/>
      <scheme val="minor"/>
    </font>
    <font>
      <u/>
      <sz val="10"/>
      <color theme="10"/>
      <name val="Arial"/>
      <family val="2"/>
    </font>
    <font>
      <b/>
      <sz val="10"/>
      <name val="Arial"/>
      <family val="2"/>
    </font>
    <font>
      <sz val="10"/>
      <name val="Arial"/>
      <family val="2"/>
    </font>
    <font>
      <sz val="8"/>
      <name val="Arial"/>
      <family val="2"/>
    </font>
    <font>
      <sz val="9"/>
      <name val="Arial"/>
      <family val="2"/>
    </font>
    <font>
      <i/>
      <sz val="8"/>
      <name val="Arial"/>
      <family val="2"/>
    </font>
    <font>
      <u/>
      <sz val="8"/>
      <name val="Arial"/>
      <family val="2"/>
    </font>
    <font>
      <b/>
      <sz val="12"/>
      <color theme="2" tint="-0.89999084444715716"/>
      <name val="Wide Latin"/>
      <family val="1"/>
    </font>
    <font>
      <b/>
      <sz val="18"/>
      <name val="Calibri"/>
      <family val="2"/>
      <scheme val="minor"/>
    </font>
    <font>
      <b/>
      <sz val="14"/>
      <name val="Calibri"/>
      <family val="2"/>
      <scheme val="minor"/>
    </font>
    <font>
      <b/>
      <sz val="10"/>
      <color rgb="FFFF0000"/>
      <name val="Calibri"/>
      <family val="2"/>
      <scheme val="minor"/>
    </font>
    <font>
      <b/>
      <sz val="10"/>
      <color rgb="FFFFFF00"/>
      <name val="Calibri"/>
      <family val="2"/>
      <scheme val="minor"/>
    </font>
    <font>
      <sz val="10"/>
      <color rgb="FF333333"/>
      <name val="Trebuchet MS"/>
      <family val="2"/>
    </font>
    <font>
      <b/>
      <sz val="10"/>
      <color theme="2" tint="-0.89999084444715716"/>
      <name val="Engravers MT"/>
      <family val="1"/>
    </font>
    <font>
      <sz val="8"/>
      <color rgb="FFFF0000"/>
      <name val="Calibri"/>
      <family val="2"/>
      <scheme val="minor"/>
    </font>
    <font>
      <sz val="10"/>
      <color theme="0"/>
      <name val="Calibri"/>
      <family val="2"/>
      <scheme val="minor"/>
    </font>
    <font>
      <sz val="10"/>
      <color rgb="FF333333"/>
      <name val="Arial"/>
      <family val="2"/>
    </font>
  </fonts>
  <fills count="11">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6"/>
        <bgColor indexed="64"/>
      </patternFill>
    </fill>
    <fill>
      <patternFill patternType="solid">
        <fgColor rgb="FFFFFF00"/>
        <bgColor indexed="64"/>
      </patternFill>
    </fill>
    <fill>
      <patternFill patternType="solid">
        <fgColor rgb="FF00FFCC"/>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bottom/>
      <diagonal/>
    </border>
    <border>
      <left/>
      <right/>
      <top/>
      <bottom style="thick">
        <color indexed="64"/>
      </bottom>
      <diagonal/>
    </border>
    <border>
      <left style="thin">
        <color indexed="64"/>
      </left>
      <right/>
      <top/>
      <bottom/>
      <diagonal/>
    </border>
    <border>
      <left/>
      <right style="thin">
        <color indexed="64"/>
      </right>
      <top/>
      <bottom style="thin">
        <color indexed="64"/>
      </bottom>
      <diagonal/>
    </border>
    <border>
      <left/>
      <right/>
      <top/>
      <bottom style="hair">
        <color indexed="64"/>
      </bottom>
      <diagonal/>
    </border>
    <border>
      <left/>
      <right style="dashDotDot">
        <color auto="1"/>
      </right>
      <top/>
      <bottom/>
      <diagonal/>
    </border>
  </borders>
  <cellStyleXfs count="6">
    <xf numFmtId="0" fontId="0" fillId="0" borderId="0"/>
    <xf numFmtId="164" fontId="2" fillId="0" borderId="0" applyFont="0" applyFill="0" applyBorder="0" applyAlignment="0" applyProtection="0"/>
    <xf numFmtId="43" fontId="2" fillId="0" borderId="0" applyFont="0" applyFill="0" applyBorder="0" applyAlignment="0" applyProtection="0"/>
    <xf numFmtId="0" fontId="1" fillId="0" borderId="0"/>
    <xf numFmtId="0" fontId="13" fillId="0" borderId="0" applyNumberFormat="0" applyFill="0" applyBorder="0" applyAlignment="0" applyProtection="0"/>
    <xf numFmtId="44" fontId="15" fillId="0" borderId="0" applyFont="0" applyFill="0" applyBorder="0" applyAlignment="0" applyProtection="0"/>
  </cellStyleXfs>
  <cellXfs count="150">
    <xf numFmtId="0" fontId="0" fillId="0" borderId="0" xfId="0"/>
    <xf numFmtId="44" fontId="16" fillId="4" borderId="0" xfId="5" applyFont="1" applyFill="1"/>
    <xf numFmtId="0" fontId="16" fillId="5" borderId="0" xfId="0" quotePrefix="1" applyFont="1" applyFill="1" applyAlignment="1">
      <alignment horizontal="center"/>
    </xf>
    <xf numFmtId="0" fontId="16" fillId="6" borderId="0" xfId="0" applyFont="1" applyFill="1"/>
    <xf numFmtId="0" fontId="17" fillId="0" borderId="0" xfId="0" applyFont="1"/>
    <xf numFmtId="0" fontId="0" fillId="0" borderId="0" xfId="0" applyAlignment="1">
      <alignment horizontal="right"/>
    </xf>
    <xf numFmtId="0" fontId="18" fillId="0" borderId="0" xfId="0" applyFont="1"/>
    <xf numFmtId="0" fontId="19" fillId="0" borderId="0" xfId="0" applyFont="1"/>
    <xf numFmtId="0" fontId="3" fillId="3" borderId="0" xfId="0" applyFont="1" applyFill="1" applyAlignment="1" applyProtection="1">
      <alignment horizontal="center" vertical="center"/>
      <protection locked="0"/>
    </xf>
    <xf numFmtId="0" fontId="13" fillId="3" borderId="0" xfId="4" applyFill="1" applyAlignment="1" applyProtection="1">
      <alignment horizontal="center"/>
      <protection hidden="1"/>
    </xf>
    <xf numFmtId="0" fontId="3" fillId="3" borderId="0" xfId="0" applyFont="1" applyFill="1" applyProtection="1">
      <protection hidden="1"/>
    </xf>
    <xf numFmtId="0" fontId="23" fillId="9" borderId="0" xfId="0" quotePrefix="1" applyFont="1" applyFill="1" applyBorder="1" applyAlignment="1" applyProtection="1">
      <alignment horizontal="center" vertical="center"/>
      <protection hidden="1"/>
    </xf>
    <xf numFmtId="0" fontId="24" fillId="9" borderId="0" xfId="0" quotePrefix="1" applyFont="1" applyFill="1" applyBorder="1" applyAlignment="1" applyProtection="1">
      <alignment horizontal="center" vertical="center"/>
      <protection hidden="1"/>
    </xf>
    <xf numFmtId="0" fontId="3" fillId="3" borderId="0" xfId="0" applyFont="1" applyFill="1" applyBorder="1" applyProtection="1">
      <protection hidden="1"/>
    </xf>
    <xf numFmtId="0" fontId="3" fillId="3" borderId="17" xfId="0" applyFont="1" applyFill="1" applyBorder="1" applyProtection="1">
      <protection hidden="1"/>
    </xf>
    <xf numFmtId="0" fontId="13" fillId="3" borderId="0" xfId="4" applyFill="1" applyProtection="1">
      <protection hidden="1"/>
    </xf>
    <xf numFmtId="0" fontId="6" fillId="3" borderId="0" xfId="0" applyFont="1" applyFill="1" applyProtection="1">
      <protection hidden="1"/>
    </xf>
    <xf numFmtId="0" fontId="6" fillId="3" borderId="0" xfId="0" applyFont="1" applyFill="1" applyBorder="1" applyProtection="1">
      <protection hidden="1"/>
    </xf>
    <xf numFmtId="1" fontId="3" fillId="3" borderId="0" xfId="0" applyNumberFormat="1" applyFont="1" applyFill="1" applyBorder="1" applyAlignment="1" applyProtection="1">
      <alignment horizontal="center" vertical="center"/>
      <protection hidden="1"/>
    </xf>
    <xf numFmtId="1" fontId="3" fillId="3" borderId="17" xfId="0" applyNumberFormat="1" applyFont="1" applyFill="1" applyBorder="1" applyAlignment="1" applyProtection="1">
      <alignment horizontal="center" vertical="center"/>
      <protection hidden="1"/>
    </xf>
    <xf numFmtId="0" fontId="4" fillId="3" borderId="0" xfId="0" applyFont="1" applyFill="1" applyBorder="1" applyAlignment="1" applyProtection="1">
      <alignment vertical="center"/>
      <protection hidden="1"/>
    </xf>
    <xf numFmtId="0" fontId="4" fillId="3" borderId="0" xfId="0" applyFont="1" applyFill="1" applyBorder="1" applyAlignment="1" applyProtection="1">
      <alignment horizontal="center" vertical="center"/>
      <protection hidden="1"/>
    </xf>
    <xf numFmtId="165" fontId="4" fillId="3" borderId="0" xfId="0" applyNumberFormat="1" applyFont="1" applyFill="1" applyBorder="1" applyAlignment="1" applyProtection="1">
      <alignment vertical="center" wrapText="1"/>
      <protection hidden="1"/>
    </xf>
    <xf numFmtId="4" fontId="13" fillId="3" borderId="0" xfId="4" applyNumberFormat="1" applyFill="1" applyBorder="1" applyAlignment="1" applyProtection="1">
      <alignment vertical="center"/>
      <protection hidden="1"/>
    </xf>
    <xf numFmtId="4" fontId="4" fillId="3" borderId="0" xfId="0" applyNumberFormat="1" applyFont="1" applyFill="1" applyBorder="1" applyAlignment="1" applyProtection="1">
      <alignment horizontal="center" vertical="center" wrapText="1"/>
      <protection hidden="1"/>
    </xf>
    <xf numFmtId="4" fontId="13" fillId="3" borderId="17" xfId="4" applyNumberFormat="1" applyFill="1" applyBorder="1" applyAlignment="1" applyProtection="1">
      <alignment vertical="center"/>
      <protection hidden="1"/>
    </xf>
    <xf numFmtId="4" fontId="4" fillId="3" borderId="0" xfId="0" applyNumberFormat="1" applyFont="1" applyFill="1" applyBorder="1" applyAlignment="1" applyProtection="1">
      <alignment horizontal="center" vertical="center" wrapText="1"/>
      <protection hidden="1"/>
    </xf>
    <xf numFmtId="0" fontId="11" fillId="3" borderId="0" xfId="0" applyFont="1" applyFill="1" applyAlignment="1" applyProtection="1">
      <alignment horizontal="center"/>
      <protection hidden="1"/>
    </xf>
    <xf numFmtId="0" fontId="5" fillId="3" borderId="0" xfId="0" applyFont="1" applyFill="1" applyBorder="1" applyAlignment="1" applyProtection="1">
      <alignment horizontal="center" vertical="center"/>
      <protection hidden="1"/>
    </xf>
    <xf numFmtId="0" fontId="5" fillId="3" borderId="0" xfId="0" applyFont="1" applyFill="1" applyBorder="1" applyAlignment="1" applyProtection="1">
      <alignment horizontal="center" vertical="center"/>
      <protection hidden="1"/>
    </xf>
    <xf numFmtId="0" fontId="29" fillId="0" borderId="0" xfId="0" applyFont="1" applyAlignment="1" applyProtection="1">
      <alignment horizontal="center" vertical="top"/>
      <protection hidden="1"/>
    </xf>
    <xf numFmtId="0" fontId="21" fillId="3" borderId="0" xfId="0" applyFont="1" applyFill="1" applyAlignment="1" applyProtection="1">
      <alignment horizontal="center" vertical="center"/>
      <protection hidden="1"/>
    </xf>
    <xf numFmtId="0" fontId="22" fillId="3" borderId="0" xfId="0" applyFont="1" applyFill="1" applyAlignment="1" applyProtection="1">
      <alignment horizontal="left" vertical="center"/>
      <protection hidden="1"/>
    </xf>
    <xf numFmtId="0" fontId="3" fillId="3" borderId="0" xfId="0" applyFont="1" applyFill="1" applyAlignment="1" applyProtection="1">
      <alignment horizontal="left"/>
      <protection hidden="1"/>
    </xf>
    <xf numFmtId="14" fontId="6" fillId="3" borderId="0" xfId="0" applyNumberFormat="1" applyFont="1" applyFill="1" applyAlignment="1" applyProtection="1">
      <alignment horizontal="left"/>
      <protection hidden="1"/>
    </xf>
    <xf numFmtId="0" fontId="6" fillId="3" borderId="0" xfId="0" applyFont="1" applyFill="1" applyAlignment="1" applyProtection="1">
      <alignment horizontal="left"/>
      <protection hidden="1"/>
    </xf>
    <xf numFmtId="14" fontId="6" fillId="3" borderId="0" xfId="0" applyNumberFormat="1" applyFont="1" applyFill="1" applyBorder="1" applyProtection="1">
      <protection hidden="1"/>
    </xf>
    <xf numFmtId="14" fontId="6" fillId="3" borderId="17" xfId="0" applyNumberFormat="1" applyFont="1" applyFill="1" applyBorder="1" applyProtection="1">
      <protection hidden="1"/>
    </xf>
    <xf numFmtId="0" fontId="6" fillId="3" borderId="0" xfId="0" applyFont="1" applyFill="1" applyAlignment="1" applyProtection="1">
      <alignment horizontal="center"/>
      <protection hidden="1"/>
    </xf>
    <xf numFmtId="0" fontId="3" fillId="3" borderId="0" xfId="0" applyFont="1" applyFill="1" applyAlignment="1" applyProtection="1">
      <alignment horizontal="right"/>
      <protection hidden="1"/>
    </xf>
    <xf numFmtId="14" fontId="6" fillId="3" borderId="0" xfId="0" applyNumberFormat="1" applyFont="1" applyFill="1" applyProtection="1">
      <protection hidden="1"/>
    </xf>
    <xf numFmtId="17" fontId="9" fillId="3" borderId="0" xfId="0" applyNumberFormat="1" applyFont="1" applyFill="1" applyAlignment="1" applyProtection="1">
      <alignment horizontal="left"/>
      <protection hidden="1"/>
    </xf>
    <xf numFmtId="0" fontId="9" fillId="3" borderId="0" xfId="0" applyFont="1" applyFill="1" applyAlignment="1" applyProtection="1">
      <alignment horizontal="left"/>
      <protection hidden="1"/>
    </xf>
    <xf numFmtId="2" fontId="3" fillId="3" borderId="12" xfId="0" applyNumberFormat="1" applyFont="1" applyFill="1" applyBorder="1" applyAlignment="1" applyProtection="1">
      <alignment horizontal="right"/>
      <protection hidden="1"/>
    </xf>
    <xf numFmtId="2" fontId="3" fillId="3" borderId="0" xfId="0" applyNumberFormat="1" applyFont="1" applyFill="1" applyBorder="1" applyProtection="1">
      <protection hidden="1"/>
    </xf>
    <xf numFmtId="2" fontId="3" fillId="3" borderId="15" xfId="0" applyNumberFormat="1" applyFont="1" applyFill="1" applyBorder="1" applyAlignment="1" applyProtection="1">
      <alignment horizontal="right"/>
      <protection hidden="1"/>
    </xf>
    <xf numFmtId="2" fontId="3" fillId="3" borderId="0" xfId="0" applyNumberFormat="1" applyFont="1" applyFill="1" applyAlignment="1" applyProtection="1">
      <alignment horizontal="right"/>
      <protection hidden="1"/>
    </xf>
    <xf numFmtId="0" fontId="3" fillId="3" borderId="1" xfId="0" applyFont="1" applyFill="1" applyBorder="1" applyProtection="1">
      <protection hidden="1"/>
    </xf>
    <xf numFmtId="2" fontId="3" fillId="3" borderId="1" xfId="0" applyNumberFormat="1" applyFont="1" applyFill="1" applyBorder="1" applyAlignment="1" applyProtection="1">
      <alignment horizontal="right"/>
      <protection hidden="1"/>
    </xf>
    <xf numFmtId="2" fontId="3" fillId="3" borderId="0" xfId="0" applyNumberFormat="1" applyFont="1" applyFill="1" applyBorder="1" applyAlignment="1" applyProtection="1">
      <alignment horizontal="right"/>
      <protection hidden="1"/>
    </xf>
    <xf numFmtId="2" fontId="6" fillId="3" borderId="0" xfId="0" applyNumberFormat="1" applyFont="1" applyFill="1" applyAlignment="1" applyProtection="1">
      <alignment horizontal="right"/>
      <protection hidden="1"/>
    </xf>
    <xf numFmtId="2" fontId="3" fillId="3" borderId="0" xfId="2" applyNumberFormat="1" applyFont="1" applyFill="1" applyBorder="1" applyAlignment="1" applyProtection="1">
      <protection hidden="1"/>
    </xf>
    <xf numFmtId="0" fontId="3" fillId="3" borderId="14" xfId="0" applyFont="1" applyFill="1" applyBorder="1" applyProtection="1">
      <protection hidden="1"/>
    </xf>
    <xf numFmtId="2" fontId="3" fillId="3" borderId="12" xfId="0" applyNumberFormat="1" applyFont="1" applyFill="1" applyBorder="1" applyAlignment="1" applyProtection="1">
      <protection hidden="1"/>
    </xf>
    <xf numFmtId="16" fontId="6" fillId="3" borderId="0" xfId="0" applyNumberFormat="1" applyFont="1" applyFill="1" applyAlignment="1" applyProtection="1">
      <alignment horizontal="right"/>
      <protection hidden="1"/>
    </xf>
    <xf numFmtId="16" fontId="3" fillId="3" borderId="0" xfId="0" applyNumberFormat="1" applyFont="1" applyFill="1" applyAlignment="1" applyProtection="1">
      <alignment horizontal="right"/>
      <protection hidden="1"/>
    </xf>
    <xf numFmtId="43" fontId="3" fillId="3" borderId="12" xfId="0" applyNumberFormat="1" applyFont="1" applyFill="1" applyBorder="1" applyAlignment="1" applyProtection="1">
      <protection hidden="1"/>
    </xf>
    <xf numFmtId="43" fontId="3" fillId="3" borderId="0" xfId="0" applyNumberFormat="1" applyFont="1" applyFill="1" applyBorder="1" applyProtection="1">
      <protection hidden="1"/>
    </xf>
    <xf numFmtId="43" fontId="3" fillId="3" borderId="17" xfId="0" applyNumberFormat="1" applyFont="1" applyFill="1" applyBorder="1" applyProtection="1">
      <protection hidden="1"/>
    </xf>
    <xf numFmtId="2" fontId="3" fillId="3" borderId="12" xfId="2" applyNumberFormat="1" applyFont="1" applyFill="1" applyBorder="1" applyAlignment="1" applyProtection="1">
      <alignment horizontal="right"/>
      <protection hidden="1"/>
    </xf>
    <xf numFmtId="43" fontId="3" fillId="3" borderId="15" xfId="0" applyNumberFormat="1" applyFont="1" applyFill="1" applyBorder="1" applyProtection="1">
      <protection hidden="1"/>
    </xf>
    <xf numFmtId="43" fontId="6" fillId="2" borderId="2" xfId="2" applyFont="1" applyFill="1" applyBorder="1" applyProtection="1">
      <protection hidden="1"/>
    </xf>
    <xf numFmtId="0" fontId="3" fillId="3" borderId="16" xfId="0" applyFont="1" applyFill="1" applyBorder="1" applyAlignment="1" applyProtection="1">
      <alignment horizontal="center"/>
      <protection hidden="1"/>
    </xf>
    <xf numFmtId="0" fontId="6" fillId="3" borderId="0" xfId="0" applyFont="1" applyFill="1" applyAlignment="1" applyProtection="1">
      <alignment vertical="center" wrapText="1"/>
      <protection hidden="1"/>
    </xf>
    <xf numFmtId="0" fontId="6" fillId="2" borderId="6" xfId="0" applyFont="1" applyFill="1" applyBorder="1" applyAlignment="1" applyProtection="1">
      <alignment horizontal="center" vertical="center" wrapText="1"/>
      <protection hidden="1"/>
    </xf>
    <xf numFmtId="0" fontId="6" fillId="2" borderId="7"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hidden="1"/>
    </xf>
    <xf numFmtId="0" fontId="3" fillId="3" borderId="0" xfId="0" applyFont="1" applyFill="1" applyBorder="1" applyAlignment="1" applyProtection="1">
      <alignment vertical="center" wrapText="1"/>
      <protection hidden="1"/>
    </xf>
    <xf numFmtId="0" fontId="3" fillId="3" borderId="0" xfId="0" applyFont="1" applyFill="1" applyAlignment="1" applyProtection="1">
      <alignment vertical="center" wrapText="1"/>
      <protection hidden="1"/>
    </xf>
    <xf numFmtId="0" fontId="3" fillId="3" borderId="17" xfId="0" applyFont="1" applyFill="1" applyBorder="1" applyAlignment="1" applyProtection="1">
      <alignment vertical="center" wrapText="1"/>
      <protection hidden="1"/>
    </xf>
    <xf numFmtId="0" fontId="6" fillId="2" borderId="8" xfId="0" applyFont="1" applyFill="1" applyBorder="1" applyAlignment="1" applyProtection="1">
      <alignment horizontal="center" vertical="center" wrapText="1"/>
      <protection hidden="1"/>
    </xf>
    <xf numFmtId="0" fontId="6" fillId="2" borderId="9" xfId="0" applyFont="1" applyFill="1" applyBorder="1" applyAlignment="1" applyProtection="1">
      <alignment horizontal="center" vertical="center" wrapText="1"/>
      <protection hidden="1"/>
    </xf>
    <xf numFmtId="0" fontId="3" fillId="2" borderId="3" xfId="0" applyFont="1" applyFill="1" applyBorder="1" applyAlignment="1" applyProtection="1">
      <alignment horizontal="center" vertical="center" wrapText="1"/>
      <protection hidden="1"/>
    </xf>
    <xf numFmtId="0" fontId="6" fillId="3" borderId="0" xfId="0" applyFont="1" applyFill="1" applyAlignment="1" applyProtection="1">
      <alignment horizontal="center" vertical="center"/>
      <protection hidden="1"/>
    </xf>
    <xf numFmtId="1" fontId="3" fillId="3" borderId="10" xfId="0" applyNumberFormat="1" applyFont="1" applyFill="1" applyBorder="1" applyAlignment="1" applyProtection="1">
      <alignment horizontal="center" vertical="center"/>
      <protection hidden="1"/>
    </xf>
    <xf numFmtId="1" fontId="3" fillId="3" borderId="11" xfId="0" applyNumberFormat="1" applyFont="1" applyFill="1" applyBorder="1" applyAlignment="1" applyProtection="1">
      <alignment horizontal="center" vertical="center"/>
      <protection hidden="1"/>
    </xf>
    <xf numFmtId="1" fontId="3" fillId="3" borderId="3" xfId="0" applyNumberFormat="1" applyFont="1" applyFill="1" applyBorder="1" applyAlignment="1" applyProtection="1">
      <alignment horizontal="center" vertical="center"/>
      <protection hidden="1"/>
    </xf>
    <xf numFmtId="2" fontId="3" fillId="3" borderId="3" xfId="2" applyNumberFormat="1" applyFont="1" applyFill="1" applyBorder="1" applyAlignment="1" applyProtection="1">
      <alignment horizontal="center" vertical="center"/>
      <protection hidden="1"/>
    </xf>
    <xf numFmtId="0" fontId="3" fillId="3" borderId="3" xfId="0" applyFont="1" applyFill="1" applyBorder="1" applyAlignment="1" applyProtection="1">
      <alignment horizontal="center" vertical="center"/>
      <protection hidden="1"/>
    </xf>
    <xf numFmtId="43" fontId="3" fillId="3" borderId="3" xfId="2" applyFont="1" applyFill="1" applyBorder="1" applyAlignment="1" applyProtection="1">
      <alignment horizontal="center" vertical="center"/>
      <protection hidden="1"/>
    </xf>
    <xf numFmtId="0" fontId="3" fillId="3" borderId="0" xfId="0" applyFont="1" applyFill="1" applyBorder="1" applyAlignment="1" applyProtection="1">
      <alignment horizontal="center" vertical="center"/>
      <protection hidden="1"/>
    </xf>
    <xf numFmtId="0" fontId="3" fillId="3" borderId="0" xfId="0" applyFont="1" applyFill="1" applyAlignment="1" applyProtection="1">
      <alignment horizontal="center" vertical="center"/>
      <protection hidden="1"/>
    </xf>
    <xf numFmtId="0" fontId="3" fillId="3" borderId="17" xfId="0" applyFont="1" applyFill="1" applyBorder="1" applyAlignment="1" applyProtection="1">
      <alignment horizontal="center" vertical="center"/>
      <protection hidden="1"/>
    </xf>
    <xf numFmtId="43" fontId="6" fillId="3" borderId="10" xfId="2" applyNumberFormat="1" applyFont="1" applyFill="1" applyBorder="1" applyProtection="1">
      <protection hidden="1"/>
    </xf>
    <xf numFmtId="43" fontId="6" fillId="3" borderId="0" xfId="2" applyNumberFormat="1" applyFont="1" applyFill="1" applyBorder="1" applyProtection="1">
      <protection hidden="1"/>
    </xf>
    <xf numFmtId="43" fontId="10" fillId="3" borderId="2" xfId="0" applyNumberFormat="1" applyFont="1" applyFill="1" applyBorder="1" applyProtection="1">
      <protection hidden="1"/>
    </xf>
    <xf numFmtId="43" fontId="6" fillId="3" borderId="17" xfId="2" applyNumberFormat="1" applyFont="1" applyFill="1" applyBorder="1" applyProtection="1">
      <protection hidden="1"/>
    </xf>
    <xf numFmtId="43" fontId="6" fillId="3" borderId="3" xfId="2" applyNumberFormat="1" applyFont="1" applyFill="1" applyBorder="1" applyProtection="1">
      <protection hidden="1"/>
    </xf>
    <xf numFmtId="0" fontId="8" fillId="3" borderId="0" xfId="0" applyFont="1" applyFill="1" applyProtection="1">
      <protection hidden="1"/>
    </xf>
    <xf numFmtId="43" fontId="14" fillId="3" borderId="0" xfId="0" applyNumberFormat="1" applyFont="1" applyFill="1" applyAlignment="1" applyProtection="1">
      <protection hidden="1"/>
    </xf>
    <xf numFmtId="167" fontId="6" fillId="3" borderId="0" xfId="0" applyNumberFormat="1" applyFont="1" applyFill="1" applyProtection="1">
      <protection hidden="1"/>
    </xf>
    <xf numFmtId="174" fontId="8" fillId="3" borderId="0" xfId="0" applyNumberFormat="1" applyFont="1" applyFill="1" applyAlignment="1" applyProtection="1">
      <alignment horizontal="right" vertical="center"/>
      <protection hidden="1"/>
    </xf>
    <xf numFmtId="0" fontId="26" fillId="3" borderId="0" xfId="0" applyFont="1" applyFill="1" applyBorder="1" applyAlignment="1" applyProtection="1">
      <alignment horizontal="center"/>
      <protection hidden="1"/>
    </xf>
    <xf numFmtId="0" fontId="20" fillId="3" borderId="0" xfId="0" applyFont="1" applyFill="1" applyBorder="1" applyAlignment="1" applyProtection="1">
      <protection hidden="1"/>
    </xf>
    <xf numFmtId="0" fontId="3" fillId="3" borderId="13" xfId="0" applyFont="1" applyFill="1" applyBorder="1" applyProtection="1">
      <protection hidden="1"/>
    </xf>
    <xf numFmtId="0" fontId="3" fillId="3" borderId="1" xfId="0" applyFont="1" applyFill="1" applyBorder="1" applyAlignment="1" applyProtection="1">
      <alignment horizontal="center"/>
      <protection hidden="1"/>
    </xf>
    <xf numFmtId="0" fontId="6" fillId="3" borderId="0" xfId="0" applyFont="1" applyFill="1" applyAlignment="1" applyProtection="1">
      <alignment horizontal="center" vertical="center"/>
      <protection hidden="1"/>
    </xf>
    <xf numFmtId="0" fontId="6" fillId="3" borderId="17" xfId="0" applyFont="1" applyFill="1" applyBorder="1" applyProtection="1">
      <protection hidden="1"/>
    </xf>
    <xf numFmtId="0" fontId="6" fillId="3" borderId="0" xfId="0" applyFont="1" applyFill="1" applyAlignment="1" applyProtection="1">
      <alignment horizontal="right" vertical="center"/>
      <protection hidden="1"/>
    </xf>
    <xf numFmtId="0" fontId="6" fillId="3" borderId="0" xfId="0" applyFont="1" applyFill="1" applyAlignment="1" applyProtection="1">
      <alignment horizontal="left" vertical="center"/>
      <protection hidden="1"/>
    </xf>
    <xf numFmtId="0" fontId="3" fillId="3" borderId="0" xfId="0" applyFont="1" applyFill="1" applyAlignment="1" applyProtection="1">
      <alignment vertical="center"/>
      <protection locked="0"/>
    </xf>
    <xf numFmtId="0" fontId="7" fillId="3" borderId="0" xfId="0" applyFont="1" applyFill="1" applyAlignment="1" applyProtection="1">
      <alignment horizontal="left" vertical="center"/>
      <protection locked="0"/>
    </xf>
    <xf numFmtId="0" fontId="3" fillId="9" borderId="0" xfId="0" applyFont="1" applyFill="1" applyAlignment="1" applyProtection="1">
      <alignment vertical="center"/>
      <protection locked="0"/>
    </xf>
    <xf numFmtId="1" fontId="3" fillId="3" borderId="0" xfId="0" applyNumberFormat="1" applyFont="1" applyFill="1" applyAlignment="1" applyProtection="1">
      <alignment horizontal="center" vertical="center"/>
      <protection locked="0"/>
    </xf>
    <xf numFmtId="0" fontId="6" fillId="3" borderId="0" xfId="0" applyFont="1" applyFill="1" applyAlignment="1" applyProtection="1">
      <alignment vertical="center"/>
      <protection locked="0"/>
    </xf>
    <xf numFmtId="14" fontId="12" fillId="3" borderId="0" xfId="0" applyNumberFormat="1" applyFont="1" applyFill="1" applyBorder="1" applyAlignment="1" applyProtection="1">
      <alignment horizontal="center" vertical="center"/>
      <protection locked="0"/>
    </xf>
    <xf numFmtId="1" fontId="12" fillId="3" borderId="0" xfId="0" applyNumberFormat="1" applyFont="1" applyFill="1" applyBorder="1" applyAlignment="1" applyProtection="1">
      <alignment horizontal="center" vertical="center"/>
      <protection locked="0"/>
    </xf>
    <xf numFmtId="1" fontId="12" fillId="3" borderId="16" xfId="0" applyNumberFormat="1" applyFont="1" applyFill="1" applyBorder="1" applyAlignment="1" applyProtection="1">
      <alignment horizontal="center" vertical="center"/>
      <protection locked="0"/>
    </xf>
    <xf numFmtId="166" fontId="3" fillId="3" borderId="3" xfId="0" applyNumberFormat="1" applyFont="1" applyFill="1" applyBorder="1" applyAlignment="1" applyProtection="1">
      <alignment vertical="center"/>
      <protection locked="0"/>
    </xf>
    <xf numFmtId="14" fontId="3" fillId="3" borderId="3" xfId="0" applyNumberFormat="1" applyFont="1" applyFill="1" applyBorder="1" applyAlignment="1" applyProtection="1">
      <alignment vertical="center"/>
      <protection locked="0"/>
    </xf>
    <xf numFmtId="14" fontId="3" fillId="4" borderId="3" xfId="0" applyNumberFormat="1" applyFont="1" applyFill="1" applyBorder="1" applyAlignment="1" applyProtection="1">
      <alignment vertical="center"/>
      <protection locked="0"/>
    </xf>
    <xf numFmtId="4" fontId="3" fillId="3" borderId="3" xfId="0" applyNumberFormat="1" applyFont="1" applyFill="1" applyBorder="1" applyAlignment="1" applyProtection="1">
      <alignment horizontal="center" vertical="center"/>
      <protection locked="0"/>
    </xf>
    <xf numFmtId="4" fontId="3" fillId="3" borderId="3" xfId="0" applyNumberFormat="1" applyFont="1" applyFill="1" applyBorder="1" applyAlignment="1" applyProtection="1">
      <alignment vertical="center"/>
      <protection locked="0"/>
    </xf>
    <xf numFmtId="0" fontId="3" fillId="3" borderId="3" xfId="0" applyFont="1" applyFill="1" applyBorder="1" applyAlignment="1" applyProtection="1">
      <alignment vertical="center"/>
      <protection locked="0"/>
    </xf>
    <xf numFmtId="1" fontId="3" fillId="3" borderId="3" xfId="0" quotePrefix="1" applyNumberFormat="1" applyFont="1" applyFill="1" applyBorder="1" applyAlignment="1" applyProtection="1">
      <alignment horizontal="center" vertical="center"/>
      <protection locked="0"/>
    </xf>
    <xf numFmtId="0" fontId="3" fillId="3" borderId="3" xfId="0" quotePrefix="1" applyNumberFormat="1" applyFont="1" applyFill="1" applyBorder="1" applyAlignment="1" applyProtection="1">
      <alignment horizontal="center" vertical="center"/>
      <protection locked="0"/>
    </xf>
    <xf numFmtId="0" fontId="12" fillId="3" borderId="0" xfId="0" applyFont="1" applyFill="1" applyBorder="1" applyAlignment="1" applyProtection="1">
      <alignment vertical="center"/>
      <protection locked="0"/>
    </xf>
    <xf numFmtId="0" fontId="3" fillId="3" borderId="0" xfId="0" quotePrefix="1" applyNumberFormat="1" applyFont="1" applyFill="1" applyBorder="1" applyAlignment="1" applyProtection="1">
      <alignment horizontal="center" vertical="center"/>
      <protection locked="0"/>
    </xf>
    <xf numFmtId="0" fontId="3" fillId="4" borderId="3" xfId="0" applyFont="1" applyFill="1" applyBorder="1" applyAlignment="1" applyProtection="1">
      <alignment vertical="center"/>
      <protection locked="0"/>
    </xf>
    <xf numFmtId="166" fontId="3" fillId="4" borderId="3" xfId="0" applyNumberFormat="1" applyFont="1" applyFill="1" applyBorder="1" applyAlignment="1" applyProtection="1">
      <alignment vertical="center"/>
      <protection locked="0"/>
    </xf>
    <xf numFmtId="4" fontId="3" fillId="4" borderId="3" xfId="0" applyNumberFormat="1" applyFont="1" applyFill="1" applyBorder="1" applyAlignment="1" applyProtection="1">
      <alignment horizontal="center" vertical="center"/>
      <protection locked="0"/>
    </xf>
    <xf numFmtId="1" fontId="3" fillId="4" borderId="3" xfId="0" applyNumberFormat="1" applyFont="1" applyFill="1" applyBorder="1" applyAlignment="1" applyProtection="1">
      <alignment horizontal="center" vertical="center"/>
      <protection locked="0"/>
    </xf>
    <xf numFmtId="49" fontId="3" fillId="4" borderId="3" xfId="0" applyNumberFormat="1" applyFont="1" applyFill="1" applyBorder="1" applyAlignment="1" applyProtection="1">
      <alignment horizontal="center" vertical="center"/>
      <protection locked="0"/>
    </xf>
    <xf numFmtId="1" fontId="3" fillId="3" borderId="0" xfId="0" applyNumberFormat="1" applyFont="1" applyFill="1" applyAlignment="1" applyProtection="1">
      <alignment vertical="center"/>
      <protection locked="0"/>
    </xf>
    <xf numFmtId="0" fontId="3" fillId="3" borderId="0" xfId="0" applyFont="1" applyFill="1" applyAlignment="1" applyProtection="1">
      <alignment vertical="center"/>
      <protection hidden="1"/>
    </xf>
    <xf numFmtId="0" fontId="4" fillId="10" borderId="4" xfId="0" applyFont="1" applyFill="1" applyBorder="1" applyAlignment="1" applyProtection="1">
      <alignment horizontal="center" vertical="center"/>
      <protection hidden="1"/>
    </xf>
    <xf numFmtId="0" fontId="4" fillId="10" borderId="5" xfId="0" applyFont="1" applyFill="1" applyBorder="1" applyAlignment="1" applyProtection="1">
      <alignment horizontal="center" vertical="center"/>
      <protection hidden="1"/>
    </xf>
    <xf numFmtId="0" fontId="3" fillId="8" borderId="3" xfId="0" quotePrefix="1" applyNumberFormat="1" applyFont="1" applyFill="1" applyBorder="1" applyAlignment="1" applyProtection="1">
      <alignment horizontal="center" vertical="center"/>
      <protection hidden="1"/>
    </xf>
    <xf numFmtId="0" fontId="3" fillId="4" borderId="3" xfId="0" applyFont="1" applyFill="1" applyBorder="1" applyAlignment="1" applyProtection="1">
      <alignment vertical="center"/>
      <protection hidden="1"/>
    </xf>
    <xf numFmtId="1" fontId="12" fillId="3" borderId="0" xfId="0" applyNumberFormat="1" applyFont="1" applyFill="1" applyBorder="1" applyAlignment="1" applyProtection="1">
      <alignment horizontal="center" vertical="center"/>
      <protection hidden="1"/>
    </xf>
    <xf numFmtId="165" fontId="4" fillId="10" borderId="4" xfId="0" applyNumberFormat="1" applyFont="1" applyFill="1" applyBorder="1" applyAlignment="1" applyProtection="1">
      <alignment horizontal="center" vertical="center" wrapText="1"/>
      <protection hidden="1"/>
    </xf>
    <xf numFmtId="165" fontId="4" fillId="10" borderId="5" xfId="0" applyNumberFormat="1" applyFont="1" applyFill="1" applyBorder="1" applyAlignment="1" applyProtection="1">
      <alignment horizontal="center" vertical="center" wrapText="1"/>
      <protection hidden="1"/>
    </xf>
    <xf numFmtId="14" fontId="3" fillId="4" borderId="3" xfId="0" applyNumberFormat="1" applyFont="1" applyFill="1" applyBorder="1" applyAlignment="1" applyProtection="1">
      <alignment vertical="center"/>
      <protection hidden="1"/>
    </xf>
    <xf numFmtId="14" fontId="3" fillId="3" borderId="0" xfId="0" applyNumberFormat="1" applyFont="1" applyFill="1" applyAlignment="1" applyProtection="1">
      <alignment vertical="center"/>
      <protection hidden="1"/>
    </xf>
    <xf numFmtId="4" fontId="4" fillId="10" borderId="4" xfId="0" applyNumberFormat="1" applyFont="1" applyFill="1" applyBorder="1" applyAlignment="1" applyProtection="1">
      <alignment horizontal="center" vertical="center" wrapText="1"/>
      <protection hidden="1"/>
    </xf>
    <xf numFmtId="4" fontId="4" fillId="10" borderId="5" xfId="0" applyNumberFormat="1" applyFont="1" applyFill="1" applyBorder="1" applyAlignment="1" applyProtection="1">
      <alignment horizontal="center" vertical="center" wrapText="1"/>
      <protection hidden="1"/>
    </xf>
    <xf numFmtId="0" fontId="3" fillId="4" borderId="3" xfId="0" applyFont="1" applyFill="1" applyBorder="1" applyAlignment="1" applyProtection="1">
      <alignment horizontal="center" vertical="center"/>
      <protection hidden="1"/>
    </xf>
    <xf numFmtId="1" fontId="3" fillId="3" borderId="0" xfId="2" applyNumberFormat="1" applyFont="1" applyFill="1" applyAlignment="1" applyProtection="1">
      <alignment horizontal="center" vertical="center"/>
      <protection hidden="1"/>
    </xf>
    <xf numFmtId="43" fontId="3" fillId="4" borderId="3" xfId="2" applyFont="1" applyFill="1" applyBorder="1" applyAlignment="1" applyProtection="1">
      <alignment horizontal="center" vertical="center"/>
      <protection hidden="1"/>
    </xf>
    <xf numFmtId="43" fontId="3" fillId="3" borderId="0" xfId="2" applyFont="1" applyFill="1" applyAlignment="1" applyProtection="1">
      <alignment vertical="center"/>
      <protection hidden="1"/>
    </xf>
    <xf numFmtId="0" fontId="28" fillId="3" borderId="0" xfId="0" applyFont="1" applyFill="1" applyAlignment="1" applyProtection="1">
      <alignment vertical="center"/>
      <protection hidden="1"/>
    </xf>
    <xf numFmtId="4" fontId="4" fillId="10" borderId="4" xfId="0" applyNumberFormat="1" applyFont="1" applyFill="1" applyBorder="1" applyAlignment="1" applyProtection="1">
      <alignment horizontal="center" vertical="center"/>
      <protection hidden="1"/>
    </xf>
    <xf numFmtId="1" fontId="4" fillId="10" borderId="4" xfId="0" applyNumberFormat="1" applyFont="1" applyFill="1" applyBorder="1" applyAlignment="1" applyProtection="1">
      <alignment horizontal="center" vertical="center" wrapText="1"/>
      <protection hidden="1"/>
    </xf>
    <xf numFmtId="4" fontId="4" fillId="10" borderId="5" xfId="0" applyNumberFormat="1" applyFont="1" applyFill="1" applyBorder="1" applyAlignment="1" applyProtection="1">
      <alignment horizontal="center" vertical="center"/>
      <protection hidden="1"/>
    </xf>
    <xf numFmtId="1" fontId="4" fillId="10" borderId="5" xfId="0" applyNumberFormat="1" applyFont="1" applyFill="1" applyBorder="1" applyAlignment="1" applyProtection="1">
      <alignment horizontal="center" vertical="center" wrapText="1"/>
      <protection hidden="1"/>
    </xf>
    <xf numFmtId="14" fontId="28" fillId="3" borderId="0" xfId="0" applyNumberFormat="1" applyFont="1" applyFill="1" applyAlignment="1" applyProtection="1">
      <alignment vertical="center"/>
      <protection hidden="1"/>
    </xf>
    <xf numFmtId="0" fontId="25" fillId="0" borderId="0" xfId="0" applyFont="1" applyProtection="1">
      <protection hidden="1"/>
    </xf>
    <xf numFmtId="1" fontId="27" fillId="3" borderId="0" xfId="0" applyNumberFormat="1" applyFont="1" applyFill="1" applyBorder="1" applyAlignment="1" applyProtection="1">
      <alignment horizontal="center" vertical="center"/>
      <protection hidden="1"/>
    </xf>
    <xf numFmtId="43" fontId="3" fillId="7" borderId="3" xfId="2" applyFont="1" applyFill="1" applyBorder="1" applyAlignment="1" applyProtection="1">
      <alignment horizontal="center" vertical="center"/>
      <protection hidden="1"/>
    </xf>
    <xf numFmtId="43" fontId="3" fillId="3" borderId="0" xfId="2" applyFont="1" applyFill="1" applyAlignment="1" applyProtection="1">
      <alignment horizontal="center" vertical="center"/>
      <protection hidden="1"/>
    </xf>
  </cellXfs>
  <cellStyles count="6">
    <cellStyle name="Euro" xfId="1"/>
    <cellStyle name="Hipervínculo" xfId="4" builtinId="8"/>
    <cellStyle name="Millares" xfId="2" builtinId="3"/>
    <cellStyle name="Moneda" xfId="5" builtinId="4"/>
    <cellStyle name="Normal" xfId="0" builtinId="0"/>
    <cellStyle name="Normal 2" xfId="3"/>
  </cellStyles>
  <dxfs count="0"/>
  <tableStyles count="0" defaultTableStyle="TableStyleMedium9" defaultPivotStyle="PivotStyleLight16"/>
  <colors>
    <mruColors>
      <color rgb="FF00FFCC"/>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s%20documentos/E.LL.L/FLUJOS.PX/FLUJO%202005/FLUJO%20DE%20CAJA%202005-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LC%20CONSULTORIA/ELL/PERSONAL/Mis%20documentos/E.LL.L/FLUJOS.PX/REG.AUX.OBLIG/R.COM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UJO  "/>
      <sheetName val="FLUJO PPTO"/>
      <sheetName val="FACT COBRAR"/>
      <sheetName val="PROVEE"/>
      <sheetName val="SERVIC"/>
      <sheetName val="OTRAS CTASXPAG"/>
      <sheetName val="GTS GRALS"/>
      <sheetName val="INV. ACT"/>
      <sheetName val="PROVISIONES"/>
      <sheetName val="PLL CARG SOC"/>
      <sheetName val="SUEL Y HONOR"/>
      <sheetName val="TRIBUTOS"/>
      <sheetName val="BENEF. SOC."/>
      <sheetName val="PREST A PERS.-TERC"/>
      <sheetName val="COB. PREST. PERSONAL"/>
      <sheetName val="PREST. DE TERCEROS"/>
      <sheetName val="G FINAN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
      <sheetName val="FEB"/>
      <sheetName val="MAR"/>
      <sheetName val="ABR"/>
      <sheetName val="MAY"/>
      <sheetName val="JUN"/>
      <sheetName val="JUL"/>
      <sheetName val="AGO"/>
      <sheetName val="SET"/>
      <sheetName val="OCT"/>
      <sheetName val="NOV"/>
      <sheetName val="BASE PROV"/>
      <sheetName val="DIC"/>
    </sheetNames>
    <sheetDataSet>
      <sheetData sheetId="0" refreshError="1"/>
      <sheetData sheetId="1" refreshError="1"/>
      <sheetData sheetId="2" refreshError="1"/>
      <sheetData sheetId="3" refreshError="1"/>
      <sheetData sheetId="4">
        <row r="4">
          <cell r="L4">
            <v>33</v>
          </cell>
          <cell r="M4">
            <v>60</v>
          </cell>
          <cell r="N4">
            <v>63</v>
          </cell>
          <cell r="O4">
            <v>65</v>
          </cell>
          <cell r="P4">
            <v>99</v>
          </cell>
        </row>
      </sheetData>
      <sheetData sheetId="5" refreshError="1"/>
      <sheetData sheetId="6" refreshError="1"/>
      <sheetData sheetId="7" refreshError="1"/>
      <sheetData sheetId="8" refreshError="1"/>
      <sheetData sheetId="9" refreshError="1"/>
      <sheetData sheetId="10" refreshError="1"/>
      <sheetData sheetId="11">
        <row r="3">
          <cell r="A3" t="str">
            <v>RUC</v>
          </cell>
          <cell r="B3" t="str">
            <v>PROVEEDORES</v>
          </cell>
        </row>
        <row r="4">
          <cell r="A4" t="str">
            <v>20112273922</v>
          </cell>
          <cell r="B4" t="str">
            <v>ACE PERU SAC - Compras varias</v>
          </cell>
        </row>
        <row r="5">
          <cell r="A5" t="str">
            <v>20503034892</v>
          </cell>
          <cell r="B5" t="str">
            <v xml:space="preserve">AF EDITORIAL EIRL - libros </v>
          </cell>
        </row>
        <row r="6">
          <cell r="A6" t="str">
            <v>10106374240</v>
          </cell>
          <cell r="B6" t="str">
            <v>ALEJANDRO L. TERRE. T. - Tarjeta telefonica</v>
          </cell>
        </row>
        <row r="7">
          <cell r="A7" t="str">
            <v>10082386039</v>
          </cell>
          <cell r="B7" t="str">
            <v>ALFONSO BENAVIDES DE LA PUENTE - Notario</v>
          </cell>
        </row>
        <row r="8">
          <cell r="A8" t="str">
            <v>20100920272</v>
          </cell>
          <cell r="B8" t="str">
            <v>ALPIESA S.A. - Combustible</v>
          </cell>
        </row>
        <row r="9">
          <cell r="A9" t="str">
            <v>20349669821</v>
          </cell>
          <cell r="B9" t="str">
            <v>ALTA GRAF SA - Impresiones procoimex</v>
          </cell>
        </row>
        <row r="10">
          <cell r="A10" t="str">
            <v>20109284786</v>
          </cell>
          <cell r="B10" t="str">
            <v>ANEGADA SAC - Combustible</v>
          </cell>
        </row>
        <row r="11">
          <cell r="A11" t="str">
            <v>10098213533</v>
          </cell>
          <cell r="B11" t="str">
            <v>AQUILES CHECCO HEREDIA. - Fotocopias</v>
          </cell>
        </row>
        <row r="12">
          <cell r="A12" t="str">
            <v>20474751121</v>
          </cell>
          <cell r="B12" t="str">
            <v xml:space="preserve">ARIES SAC - Servicios </v>
          </cell>
        </row>
        <row r="13">
          <cell r="A13" t="str">
            <v>20100170508</v>
          </cell>
          <cell r="B13" t="str">
            <v>ARTICULOS PLASTICOS SAC - Suministros</v>
          </cell>
        </row>
        <row r="14">
          <cell r="A14" t="str">
            <v>20100094569</v>
          </cell>
          <cell r="B14" t="str">
            <v>ASESORIA COMERCIAL SAC - Combustible</v>
          </cell>
        </row>
        <row r="15">
          <cell r="A15" t="str">
            <v>20305476324</v>
          </cell>
          <cell r="B15" t="str">
            <v xml:space="preserve">ASOCIACIÓN BUEN PASTOR… - </v>
          </cell>
        </row>
        <row r="16">
          <cell r="A16" t="str">
            <v>20100365341</v>
          </cell>
          <cell r="B16" t="str">
            <v>ASOCIACION DE EXPORTADORES - Suscripción</v>
          </cell>
        </row>
        <row r="17">
          <cell r="A17" t="str">
            <v>20504263780</v>
          </cell>
          <cell r="B17" t="str">
            <v>AUTOMARKET DEL PERÚ S.A - Combustible</v>
          </cell>
        </row>
        <row r="18">
          <cell r="A18" t="str">
            <v>10066365668</v>
          </cell>
          <cell r="B18" t="str">
            <v>AVALOS VILCHEZ Willy - Consumo</v>
          </cell>
        </row>
        <row r="19">
          <cell r="A19" t="str">
            <v>20123241038</v>
          </cell>
          <cell r="B19" t="str">
            <v>AYMARA EIRL - Utiles de escritorio</v>
          </cell>
        </row>
        <row r="20">
          <cell r="A20" t="str">
            <v>10091530274</v>
          </cell>
          <cell r="B20" t="str">
            <v>BAUTISTA APARICIO MAKARIO - Utiles de Escrit</v>
          </cell>
        </row>
        <row r="21">
          <cell r="A21" t="str">
            <v>10093544655</v>
          </cell>
          <cell r="B21" t="str">
            <v>BERTHA S. ANAYA GUERRA - Artículos ferreteros</v>
          </cell>
        </row>
        <row r="22">
          <cell r="A22" t="str">
            <v>20139875991</v>
          </cell>
          <cell r="B22" t="str">
            <v>BERUDISA SA - Insumos.</v>
          </cell>
        </row>
        <row r="23">
          <cell r="A23" t="str">
            <v>10401581729</v>
          </cell>
          <cell r="B23" t="str">
            <v>BLAS PRINCIPE N. - Reparación de vehiculos</v>
          </cell>
        </row>
        <row r="24">
          <cell r="A24" t="str">
            <v>20384891943</v>
          </cell>
          <cell r="B24" t="str">
            <v>BOTICAS Y SALUD SAC - Guantes de Panaderia</v>
          </cell>
        </row>
        <row r="25">
          <cell r="A25" t="str">
            <v>20100426588</v>
          </cell>
          <cell r="B25" t="str">
            <v>BUSRAY - Combustible</v>
          </cell>
        </row>
        <row r="26">
          <cell r="A26" t="str">
            <v>20304985420</v>
          </cell>
          <cell r="B26" t="str">
            <v>C.PAEDDI SCRL - Gastos de instalación de planta</v>
          </cell>
        </row>
        <row r="27">
          <cell r="A27" t="str">
            <v>20423571030</v>
          </cell>
          <cell r="B27" t="str">
            <v>CAFÉ-CAFÉ SAC - Consumo</v>
          </cell>
        </row>
        <row r="28">
          <cell r="A28" t="str">
            <v>20100315751</v>
          </cell>
          <cell r="B28" t="str">
            <v>CAFETERIA HAITI M. SA. - Consumo</v>
          </cell>
        </row>
        <row r="29">
          <cell r="A29" t="str">
            <v>10256487069</v>
          </cell>
          <cell r="B29" t="str">
            <v>JULIA T. AGUILAR R. - Articulos ferreteros</v>
          </cell>
        </row>
        <row r="30">
          <cell r="A30" t="str">
            <v>20100904404</v>
          </cell>
          <cell r="B30" t="str">
            <v>CARTON CORRUGADO &amp; ENVASES SRL</v>
          </cell>
        </row>
        <row r="31">
          <cell r="A31" t="str">
            <v>20251964573</v>
          </cell>
          <cell r="B31" t="str">
            <v xml:space="preserve">CASAS Y COSAS - Telas </v>
          </cell>
        </row>
        <row r="32">
          <cell r="A32" t="str">
            <v>10074959755</v>
          </cell>
          <cell r="B32" t="str">
            <v>CCANTO CHOCCA JUAN - Vasos descartables</v>
          </cell>
        </row>
        <row r="33">
          <cell r="A33" t="str">
            <v>20330033313</v>
          </cell>
          <cell r="B33" t="str">
            <v>CHEVRON LUBRICANTS DEL PERU SAC - Combustible</v>
          </cell>
        </row>
        <row r="34">
          <cell r="A34" t="str">
            <v>15473483235</v>
          </cell>
          <cell r="B34" t="str">
            <v>CHIFA COSTA SUR  - Consumo</v>
          </cell>
        </row>
        <row r="35">
          <cell r="A35" t="str">
            <v>10256199012</v>
          </cell>
          <cell r="B35" t="str">
            <v>CHOCTAYO QUISPE - Abarrotes</v>
          </cell>
        </row>
        <row r="36">
          <cell r="A36" t="str">
            <v>20100322294</v>
          </cell>
          <cell r="B36" t="str">
            <v xml:space="preserve">CIA HOTELERA SA - Ss consumo </v>
          </cell>
        </row>
        <row r="37">
          <cell r="A37" t="str">
            <v>20102427891</v>
          </cell>
          <cell r="B37" t="str">
            <v>CIVA SAC - Ss de mensaje</v>
          </cell>
        </row>
        <row r="38">
          <cell r="A38" t="str">
            <v>20428974698</v>
          </cell>
          <cell r="B38" t="str">
            <v>COCORZA S.A - Combustible</v>
          </cell>
        </row>
        <row r="39">
          <cell r="A39" t="str">
            <v>20127765279</v>
          </cell>
          <cell r="B39" t="str">
            <v>COESTI SA - Combustible</v>
          </cell>
        </row>
        <row r="40">
          <cell r="A40" t="str">
            <v>20109514960</v>
          </cell>
          <cell r="B40" t="str">
            <v>COFYTSA - Articulos ferreteros</v>
          </cell>
        </row>
        <row r="41">
          <cell r="A41" t="str">
            <v>20419757331</v>
          </cell>
          <cell r="B41" t="str">
            <v>COGORNA SA - Insumo para panetones</v>
          </cell>
        </row>
        <row r="42">
          <cell r="A42" t="str">
            <v>20467729978</v>
          </cell>
          <cell r="B42" t="str">
            <v>COLOMBA SAC - Mantenimiento y Rep equipos</v>
          </cell>
        </row>
        <row r="43">
          <cell r="A43" t="str">
            <v>20101164901</v>
          </cell>
          <cell r="B43" t="str">
            <v>COMERCIAL LI SA - Útiles de escritorio</v>
          </cell>
        </row>
        <row r="44">
          <cell r="A44" t="str">
            <v>10070038001</v>
          </cell>
          <cell r="B44" t="str">
            <v>COMERCIAL MIKY - Articulos de Limpieza</v>
          </cell>
        </row>
        <row r="45">
          <cell r="A45" t="str">
            <v>10088883336</v>
          </cell>
          <cell r="B45" t="str">
            <v>CONCHAS NEGRAS - Consumo</v>
          </cell>
        </row>
        <row r="46">
          <cell r="A46" t="str">
            <v>20123241038</v>
          </cell>
          <cell r="B46" t="str">
            <v>CONVERSIONES AYMARA EIRL - Gasto</v>
          </cell>
        </row>
        <row r="47">
          <cell r="A47" t="str">
            <v>20100021766</v>
          </cell>
          <cell r="B47" t="str">
            <v>COPESA - Combustible</v>
          </cell>
        </row>
        <row r="48">
          <cell r="A48" t="str">
            <v>10409661514</v>
          </cell>
          <cell r="B48" t="str">
            <v>COPY TYPE SERVICE - Copias</v>
          </cell>
        </row>
        <row r="49">
          <cell r="A49" t="str">
            <v>20502850491</v>
          </cell>
          <cell r="B49" t="str">
            <v>COPYPLUS SAC - Serv  fotocopias</v>
          </cell>
        </row>
        <row r="50">
          <cell r="A50" t="str">
            <v>10258051501</v>
          </cell>
          <cell r="B50" t="str">
            <v>CORAZÓN DE JESUS - Suministros de cocina</v>
          </cell>
        </row>
        <row r="51">
          <cell r="A51" t="str">
            <v>20505020660</v>
          </cell>
          <cell r="B51" t="str">
            <v>CORPORACION SAC</v>
          </cell>
        </row>
        <row r="52">
          <cell r="A52" t="str">
            <v>20329790682</v>
          </cell>
          <cell r="B52" t="str">
            <v>CREPIER SRL - mochila</v>
          </cell>
        </row>
        <row r="53">
          <cell r="A53" t="str">
            <v>20430030036</v>
          </cell>
          <cell r="B53" t="str">
            <v>CRUZ DE SUR SA - Servicio de embalaje</v>
          </cell>
        </row>
        <row r="54">
          <cell r="A54" t="str">
            <v>20458092771</v>
          </cell>
          <cell r="B54" t="str">
            <v>DIGIGRAF SA - Servicios de Impresión</v>
          </cell>
        </row>
        <row r="55">
          <cell r="A55" t="str">
            <v>20123489323</v>
          </cell>
          <cell r="B55" t="str">
            <v>DISTRIBUIDORA MICHELL EIRL - Utiles de limpieza</v>
          </cell>
        </row>
        <row r="56">
          <cell r="A56" t="str">
            <v>10102264181</v>
          </cell>
          <cell r="B56" t="str">
            <v>DORA FANNY CHIRINOS O. - Vasos descartables</v>
          </cell>
        </row>
        <row r="57">
          <cell r="A57" t="str">
            <v>10064449759</v>
          </cell>
          <cell r="B57" t="str">
            <v>DORA TOMA TAGUATA - Vasos descartables</v>
          </cell>
        </row>
        <row r="58">
          <cell r="A58" t="str">
            <v>20292832223</v>
          </cell>
          <cell r="B58" t="str">
            <v>E&amp;A INVERSIONES SA - Combustible</v>
          </cell>
        </row>
        <row r="59">
          <cell r="A59" t="str">
            <v>20100106915</v>
          </cell>
          <cell r="B59" t="str">
            <v xml:space="preserve">E. WONG SA - Utiles de limpieza </v>
          </cell>
        </row>
        <row r="60">
          <cell r="A60" t="str">
            <v>20137868955</v>
          </cell>
          <cell r="B60" t="str">
            <v>EAN PERU - Inscripción de códigos</v>
          </cell>
        </row>
        <row r="61">
          <cell r="A61" t="str">
            <v>10076985273</v>
          </cell>
          <cell r="B61" t="str">
            <v>EDGAR NAPAN QUIROZ-Habilitación de elevador</v>
          </cell>
        </row>
        <row r="62">
          <cell r="A62" t="str">
            <v>20100072751</v>
          </cell>
          <cell r="B62" t="str">
            <v>EDITORA PERU - Registro de marcas de Prod.</v>
          </cell>
        </row>
        <row r="63">
          <cell r="A63" t="str">
            <v>20426185351</v>
          </cell>
          <cell r="B63" t="str">
            <v>El GALPON SRL - Consumo de personal</v>
          </cell>
        </row>
        <row r="64">
          <cell r="A64" t="str">
            <v>20140913431</v>
          </cell>
          <cell r="B64" t="str">
            <v>EL GOLF SRL - Combustible</v>
          </cell>
        </row>
        <row r="65">
          <cell r="A65" t="str">
            <v>20346680351</v>
          </cell>
          <cell r="B65" t="str">
            <v>EL PINO EIRL - Combustible</v>
          </cell>
        </row>
        <row r="66">
          <cell r="A66" t="str">
            <v>20503966736</v>
          </cell>
          <cell r="B66" t="str">
            <v>EL VICTORIOSO SRL - Combustible</v>
          </cell>
        </row>
        <row r="67">
          <cell r="A67" t="str">
            <v>10069886715</v>
          </cell>
          <cell r="B67" t="str">
            <v>ELBA ESPICHAN T. - Abarrotes</v>
          </cell>
        </row>
        <row r="68">
          <cell r="A68" t="str">
            <v>10105943143</v>
          </cell>
          <cell r="B68" t="str">
            <v>ELECTRO COMERCIAL C&amp;M- Articulos ferreteros</v>
          </cell>
        </row>
        <row r="69">
          <cell r="A69" t="str">
            <v>10108333800</v>
          </cell>
          <cell r="B69" t="str">
            <v xml:space="preserve">ELECTRO FERRETERO - Articulos ferreteros </v>
          </cell>
        </row>
        <row r="70">
          <cell r="A70" t="str">
            <v>20131380951</v>
          </cell>
          <cell r="B70" t="str">
            <v>EMAPE SA - Peaje</v>
          </cell>
        </row>
        <row r="71">
          <cell r="A71" t="str">
            <v>20463867365</v>
          </cell>
          <cell r="B71" t="str">
            <v>EMP. DE TRANS. PIVES S.A. - Servicio de movilidad</v>
          </cell>
        </row>
        <row r="72">
          <cell r="A72" t="str">
            <v>20136507720</v>
          </cell>
          <cell r="B72" t="str">
            <v>ESSAM - Capacitación de directores</v>
          </cell>
        </row>
        <row r="73">
          <cell r="A73" t="str">
            <v>20502565452</v>
          </cell>
          <cell r="B73" t="str">
            <v>ESTACIONES AULY SAC - Combustibles</v>
          </cell>
        </row>
        <row r="74">
          <cell r="A74" t="str">
            <v>20269007789</v>
          </cell>
          <cell r="B74" t="str">
            <v>FAVAL SRL - Gastos</v>
          </cell>
        </row>
        <row r="75">
          <cell r="A75" t="str">
            <v>10082089182</v>
          </cell>
          <cell r="B75" t="str">
            <v>FÉLIX MARTÍN T. ARGÜELLES - Medicinas</v>
          </cell>
        </row>
        <row r="76">
          <cell r="A76" t="str">
            <v>20502469658</v>
          </cell>
          <cell r="B76" t="str">
            <v>FERGRI SAC - Combustible</v>
          </cell>
        </row>
        <row r="77">
          <cell r="A77" t="str">
            <v>10419707002</v>
          </cell>
          <cell r="B77" t="str">
            <v>FERNANDO DURAN RIVERA - Útiles de oficina</v>
          </cell>
        </row>
        <row r="78">
          <cell r="A78" t="str">
            <v>10068756141</v>
          </cell>
          <cell r="B78" t="str">
            <v>FERRETERIA DANY - Articulos ferreteros</v>
          </cell>
        </row>
        <row r="79">
          <cell r="A79" t="str">
            <v>10070311602</v>
          </cell>
          <cell r="B79" t="str">
            <v>FLORINDA VASQUEZ MORA - Copias</v>
          </cell>
        </row>
        <row r="80">
          <cell r="A80" t="str">
            <v>10076403690</v>
          </cell>
          <cell r="B80" t="str">
            <v>FRANCK J. ARELLANO QUIROZ - Artículos ferret.</v>
          </cell>
        </row>
        <row r="81">
          <cell r="A81" t="str">
            <v>10069906325</v>
          </cell>
          <cell r="B81" t="str">
            <v>GARCIA SANTOS PEDRO - Aceíte panadería</v>
          </cell>
        </row>
        <row r="82">
          <cell r="A82" t="str">
            <v>20101313833</v>
          </cell>
          <cell r="B82" t="str">
            <v>GASOLINERAS SAC - Combustible</v>
          </cell>
        </row>
        <row r="83">
          <cell r="A83" t="str">
            <v>10068221426</v>
          </cell>
          <cell r="B83" t="str">
            <v>GAUDENCIO OROSCO CARRILLO. Servicio</v>
          </cell>
        </row>
        <row r="84">
          <cell r="A84" t="str">
            <v>20504957447</v>
          </cell>
          <cell r="B84" t="str">
            <v>GR E.I.R.L. - Ss de reparación de ventanas</v>
          </cell>
        </row>
        <row r="85">
          <cell r="A85" t="str">
            <v>20101658814</v>
          </cell>
          <cell r="B85" t="str">
            <v>GRAFICA LIMA SA</v>
          </cell>
        </row>
        <row r="86">
          <cell r="A86" t="str">
            <v>20127745758</v>
          </cell>
          <cell r="B86" t="str">
            <v xml:space="preserve">GRAVIPO EIRL - Servicio impresión NC ND </v>
          </cell>
        </row>
        <row r="87">
          <cell r="A87" t="str">
            <v>10087732059</v>
          </cell>
          <cell r="B87" t="str">
            <v>GRIFO BENAVIDES - Combustible</v>
          </cell>
        </row>
        <row r="88">
          <cell r="A88" t="str">
            <v>10075480119</v>
          </cell>
          <cell r="B88" t="str">
            <v>GRIFO EL PACIFICO - Combustible</v>
          </cell>
        </row>
        <row r="89">
          <cell r="A89" t="str">
            <v>20108803194</v>
          </cell>
          <cell r="B89" t="str">
            <v>GRIFO LA PAZ - Combustible</v>
          </cell>
        </row>
        <row r="90">
          <cell r="A90" t="str">
            <v>20117509665</v>
          </cell>
          <cell r="B90" t="str">
            <v>GRIFOS VITO SA - Combustible</v>
          </cell>
        </row>
        <row r="91">
          <cell r="A91" t="str">
            <v>20122209106</v>
          </cell>
          <cell r="B91" t="str">
            <v>GROBEEL SRL - Ss de impresiones</v>
          </cell>
        </row>
        <row r="92">
          <cell r="A92" t="str">
            <v>10069777479</v>
          </cell>
          <cell r="B92" t="str">
            <v>HERNAN GANBOA CH. - Ss de Fax</v>
          </cell>
        </row>
        <row r="93">
          <cell r="A93" t="str">
            <v>10075294340</v>
          </cell>
          <cell r="B93" t="str">
            <v xml:space="preserve">Hidalgo Aponte Carol Mila </v>
          </cell>
        </row>
        <row r="94">
          <cell r="A94" t="str">
            <v>20109072177</v>
          </cell>
          <cell r="B94" t="str">
            <v>HIPERMERCADOS METRO SA - Suministro cocina</v>
          </cell>
        </row>
        <row r="95">
          <cell r="A95" t="str">
            <v>20100016681</v>
          </cell>
          <cell r="B95" t="str">
            <v>HIRAOKA SAC - Rollos p.</v>
          </cell>
        </row>
        <row r="96">
          <cell r="A96" t="str">
            <v>20349845220</v>
          </cell>
          <cell r="B96" t="str">
            <v>ID TOPGRAPHIC EIRL - Utiles de escritorio</v>
          </cell>
        </row>
        <row r="97">
          <cell r="A97" t="str">
            <v>10091787763</v>
          </cell>
          <cell r="B97" t="str">
            <v xml:space="preserve">IMESA - bandeja </v>
          </cell>
        </row>
        <row r="98">
          <cell r="A98" t="str">
            <v>20117813143</v>
          </cell>
          <cell r="B98" t="str">
            <v>IMP, EXP SAN LUIS SA - Combustible</v>
          </cell>
        </row>
        <row r="99">
          <cell r="A99" t="str">
            <v>20133840533</v>
          </cell>
          <cell r="B99" t="str">
            <v>INDECOPI - Regsitro de marca de productos</v>
          </cell>
        </row>
        <row r="100">
          <cell r="A100" t="str">
            <v>20100046831</v>
          </cell>
          <cell r="B100" t="str">
            <v>INDUSTRIAS TEAL SA - Insumos de panadería</v>
          </cell>
        </row>
        <row r="101">
          <cell r="A101" t="str">
            <v>20100339421</v>
          </cell>
          <cell r="B101" t="str">
            <v>INVERSIONE LA CARRETA SA - Consumo</v>
          </cell>
        </row>
        <row r="102">
          <cell r="A102" t="str">
            <v>10062237584</v>
          </cell>
          <cell r="B102" t="str">
            <v>J.Fco GUTIERREZ MIRAVAL - Escritura publica</v>
          </cell>
        </row>
        <row r="103">
          <cell r="A103" t="str">
            <v>20505580371</v>
          </cell>
          <cell r="B103" t="str">
            <v xml:space="preserve">JAQUEBA EIRL - Consumo </v>
          </cell>
        </row>
        <row r="104">
          <cell r="A104" t="str">
            <v>10076045033</v>
          </cell>
          <cell r="B104" t="str">
            <v>JESUS MATUMAY CHUMPITAZ - Ss en contabilidad</v>
          </cell>
        </row>
        <row r="105">
          <cell r="A105" t="str">
            <v>20383747861</v>
          </cell>
          <cell r="B105" t="str">
            <v>JORMAN SRL - Articulos ferreteros</v>
          </cell>
        </row>
        <row r="106">
          <cell r="A106" t="str">
            <v>10012810984</v>
          </cell>
          <cell r="B106" t="str">
            <v>JOSÉ HUMBERTO BÉJAR U. - Por Consumo</v>
          </cell>
        </row>
        <row r="107">
          <cell r="A107" t="str">
            <v>10108689957</v>
          </cell>
          <cell r="B107" t="str">
            <v>JUAN J. SOTO CHAVARRI - Transporte</v>
          </cell>
        </row>
        <row r="108">
          <cell r="A108" t="str">
            <v>10081998642</v>
          </cell>
          <cell r="B108" t="str">
            <v>JULIO ANTONIO DEL POZAO VALDEZ - Notario</v>
          </cell>
        </row>
        <row r="109">
          <cell r="A109" t="str">
            <v>20265773738</v>
          </cell>
          <cell r="B109" t="str">
            <v>LA CASA DEL PINO SA - Escritorios</v>
          </cell>
        </row>
        <row r="110">
          <cell r="A110" t="str">
            <v>20363795537</v>
          </cell>
          <cell r="B110" t="str">
            <v>LA CASONA SRL - Consumo</v>
          </cell>
        </row>
        <row r="111">
          <cell r="A111" t="str">
            <v>20505331070</v>
          </cell>
          <cell r="B111" t="str">
            <v>LA CHIRA SAC - Combustible</v>
          </cell>
        </row>
        <row r="112">
          <cell r="A112" t="str">
            <v>20341841357</v>
          </cell>
          <cell r="B112" t="str">
            <v>LAN PERU - Viaje nacional</v>
          </cell>
        </row>
        <row r="113">
          <cell r="A113" t="str">
            <v>20375755344</v>
          </cell>
          <cell r="B113" t="str">
            <v>LG ELECTRONICS SA - Televisor</v>
          </cell>
        </row>
        <row r="114">
          <cell r="A114" t="str">
            <v>20501577252</v>
          </cell>
          <cell r="B114" t="str">
            <v>LIMA AIRPORT PARTNES SRL - Estacionamiento</v>
          </cell>
        </row>
        <row r="115">
          <cell r="A115" t="str">
            <v>20330033313</v>
          </cell>
          <cell r="B115" t="str">
            <v>LUBRICANTES DEL PERU SAC - Combustible</v>
          </cell>
        </row>
        <row r="116">
          <cell r="A116" t="str">
            <v>20331898008</v>
          </cell>
          <cell r="B116" t="str">
            <v>LUZ DEL SUR - Servicios</v>
          </cell>
        </row>
        <row r="117">
          <cell r="A117" t="str">
            <v>20378547947</v>
          </cell>
          <cell r="B117" t="str">
            <v>MAB DATA S.A.</v>
          </cell>
        </row>
        <row r="118">
          <cell r="A118" t="str">
            <v>20504390030</v>
          </cell>
          <cell r="B118" t="str">
            <v>MACK SAC - Servicio de enmarcado</v>
          </cell>
        </row>
        <row r="119">
          <cell r="A119" t="str">
            <v>20101552072</v>
          </cell>
          <cell r="B119" t="str">
            <v xml:space="preserve">MADERERA CARBAJAL SRL - </v>
          </cell>
        </row>
        <row r="120">
          <cell r="A120" t="str">
            <v>20160404796</v>
          </cell>
          <cell r="B120" t="str">
            <v>MAKA SAC - Combustible</v>
          </cell>
        </row>
        <row r="121">
          <cell r="A121" t="str">
            <v>10098280796</v>
          </cell>
          <cell r="B121" t="str">
            <v>MARIA RABANAL HIDALGO - Consumo</v>
          </cell>
        </row>
        <row r="122">
          <cell r="A122" t="str">
            <v>20507160311</v>
          </cell>
          <cell r="B122" t="str">
            <v>MASTER MIX SAC - Insumos</v>
          </cell>
        </row>
        <row r="123">
          <cell r="A123" t="str">
            <v>20385810076</v>
          </cell>
          <cell r="B123" t="str">
            <v>MATIZADOS EMYLY SRL - Pinturas</v>
          </cell>
        </row>
        <row r="124">
          <cell r="A124" t="str">
            <v>10074951894</v>
          </cell>
          <cell r="B124" t="str">
            <v>MAXI GRAPHICA - Imp Suministros</v>
          </cell>
        </row>
        <row r="125">
          <cell r="A125" t="str">
            <v>20385296411</v>
          </cell>
          <cell r="B125" t="str">
            <v>MERCANTIL BOHER SRL - Fotocopias</v>
          </cell>
        </row>
        <row r="126">
          <cell r="A126" t="str">
            <v>10088208850</v>
          </cell>
          <cell r="B126" t="str">
            <v>MERCEDES ESPADIN H. - Suministros de Limpieza</v>
          </cell>
        </row>
        <row r="127">
          <cell r="A127" t="str">
            <v>10070308318</v>
          </cell>
          <cell r="B127" t="str">
            <v>MERCEDES VERANO DE CASTILLA - Abarrotes</v>
          </cell>
        </row>
        <row r="128">
          <cell r="A128" t="str">
            <v>10106318633</v>
          </cell>
          <cell r="B128" t="str">
            <v>MIGUEL A. PORTOCORRERO O. - Insumos de Panad.</v>
          </cell>
        </row>
        <row r="129">
          <cell r="A129" t="str">
            <v>20131373237</v>
          </cell>
          <cell r="B129" t="str">
            <v>MINISTERIO DE SALUD DIGESA - Registro sanitario</v>
          </cell>
        </row>
        <row r="130">
          <cell r="A130" t="str">
            <v>20131895365</v>
          </cell>
          <cell r="B130" t="str">
            <v>MOLINERA INCA S.A. - Insumo de panadereria</v>
          </cell>
        </row>
        <row r="131">
          <cell r="A131" t="str">
            <v>20387151274</v>
          </cell>
          <cell r="B131" t="str">
            <v>MONTEFIORI - Consumo</v>
          </cell>
        </row>
        <row r="132">
          <cell r="A132" t="str">
            <v>10093720771</v>
          </cell>
          <cell r="B132" t="str">
            <v>MOSER IMPRESOS - servicios</v>
          </cell>
        </row>
        <row r="133">
          <cell r="A133" t="str">
            <v>20304072025</v>
          </cell>
          <cell r="B133" t="str">
            <v>MOSQUERA EIRL - Envases dest.</v>
          </cell>
        </row>
        <row r="134">
          <cell r="A134" t="str">
            <v>20335202805</v>
          </cell>
          <cell r="B134" t="str">
            <v>MUEBLERIA ECMASA - Activo (escritorios-silla)</v>
          </cell>
        </row>
        <row r="135">
          <cell r="A135" t="str">
            <v>20476092320</v>
          </cell>
          <cell r="B135" t="str">
            <v>MULTISERV - Combustible</v>
          </cell>
        </row>
        <row r="136">
          <cell r="A136" t="str">
            <v>20254635287</v>
          </cell>
          <cell r="B136" t="str">
            <v>MULTISERVIGRAF - Servicios de barnizados</v>
          </cell>
        </row>
        <row r="137">
          <cell r="A137" t="str">
            <v>10064947058</v>
          </cell>
          <cell r="B137" t="str">
            <v>MUSSO MARCOVICH JOSE ANTONIO - Alquiler</v>
          </cell>
        </row>
        <row r="138">
          <cell r="A138" t="str">
            <v>20379355731</v>
          </cell>
          <cell r="B138" t="str">
            <v>NEXFYS S.A. - Servicio de fumigacion</v>
          </cell>
        </row>
        <row r="139">
          <cell r="A139" t="str">
            <v>20106897914</v>
          </cell>
          <cell r="B139" t="str">
            <v>NEXTEL DEL PERU SA - Ss telefonico</v>
          </cell>
        </row>
        <row r="140">
          <cell r="A140" t="str">
            <v>10079141092</v>
          </cell>
          <cell r="B140" t="str">
            <v>NORA CHANG W.W - Tirafones</v>
          </cell>
        </row>
        <row r="141">
          <cell r="A141" t="str">
            <v>20107840266</v>
          </cell>
          <cell r="B141" t="str">
            <v>OFINCENTRO EIRL - Utiles de escritorio</v>
          </cell>
        </row>
        <row r="142">
          <cell r="A142" t="str">
            <v>10070096388</v>
          </cell>
          <cell r="B142" t="str">
            <v>OSCAR SOPLA GALOC - Articulos ferreteros</v>
          </cell>
        </row>
        <row r="143">
          <cell r="A143" t="str">
            <v>20457160233</v>
          </cell>
          <cell r="B143" t="str">
            <v>P.C. LETICIA E.I.R.L. - Monitores</v>
          </cell>
        </row>
        <row r="144">
          <cell r="A144" t="str">
            <v>20100551561</v>
          </cell>
          <cell r="B144" t="str">
            <v>PADILLA SRL - Impresiones</v>
          </cell>
        </row>
        <row r="145">
          <cell r="A145" t="str">
            <v>10081434536</v>
          </cell>
          <cell r="B145" t="str">
            <v>PEDRO L. RUIZ FERNANDEZ - Teclado</v>
          </cell>
        </row>
        <row r="146">
          <cell r="A146" t="str">
            <v>20107254375</v>
          </cell>
          <cell r="B146" t="str">
            <v>PIEMONTESA SRL - Articulos Ferreteros</v>
          </cell>
        </row>
        <row r="147">
          <cell r="A147" t="str">
            <v>20301494590</v>
          </cell>
          <cell r="B147" t="str">
            <v>PISO PAC PERU SAC - Melanina</v>
          </cell>
        </row>
        <row r="148">
          <cell r="A148" t="str">
            <v>20191317697</v>
          </cell>
          <cell r="B148" t="str">
            <v>PLAYA SANTA CATALINA - Estacionamiento</v>
          </cell>
        </row>
        <row r="149">
          <cell r="A149" t="str">
            <v>10105533280</v>
          </cell>
          <cell r="B149" t="str">
            <v>PORFIRIO M. VILCA ARANA - Pelota</v>
          </cell>
        </row>
        <row r="150">
          <cell r="A150" t="str">
            <v>20334089941</v>
          </cell>
          <cell r="B150" t="str">
            <v>PRAXIS SAC - Utiles de escritorio</v>
          </cell>
        </row>
        <row r="151">
          <cell r="A151" t="str">
            <v>20100553695</v>
          </cell>
          <cell r="B151" t="str">
            <v>PRODUCTOS DIVERSOS EIRL - Etiquetas</v>
          </cell>
        </row>
        <row r="152">
          <cell r="A152" t="str">
            <v>20202540334</v>
          </cell>
          <cell r="B152" t="str">
            <v>PRODUCTOS VLADY SRL</v>
          </cell>
        </row>
        <row r="153">
          <cell r="A153" t="str">
            <v>20372227045</v>
          </cell>
          <cell r="B153" t="str">
            <v>PROVIPAN SAC - Insumos de panaderia</v>
          </cell>
        </row>
        <row r="154">
          <cell r="A154" t="str">
            <v>20100976901</v>
          </cell>
          <cell r="B154" t="str">
            <v>RAICES SAC - Consumo</v>
          </cell>
        </row>
        <row r="155">
          <cell r="A155" t="str">
            <v>20503840121</v>
          </cell>
          <cell r="B155" t="str">
            <v>REPSOL SAC - Combustible</v>
          </cell>
        </row>
        <row r="156">
          <cell r="A156" t="str">
            <v>20427311296</v>
          </cell>
          <cell r="B156" t="str">
            <v>RINCON CERVECERO S.A. - Consumo</v>
          </cell>
        </row>
        <row r="157">
          <cell r="A157" t="str">
            <v>20305063674</v>
          </cell>
          <cell r="B157" t="str">
            <v>RISCLA SA - Combustible</v>
          </cell>
        </row>
        <row r="158">
          <cell r="A158" t="str">
            <v>10072156183</v>
          </cell>
          <cell r="B158" t="str">
            <v>ROBERTO ARRÓSPIDE ALIAGA - Combustible</v>
          </cell>
        </row>
        <row r="159">
          <cell r="A159" t="str">
            <v>10073874195</v>
          </cell>
          <cell r="B159" t="str">
            <v>ROBERTO YPARRAGUIRRE M. - Combustible</v>
          </cell>
        </row>
        <row r="160">
          <cell r="A160" t="str">
            <v>20100128056</v>
          </cell>
          <cell r="B160" t="str">
            <v>SAGA FALABELLA SA - Utiles de oficina</v>
          </cell>
        </row>
        <row r="161">
          <cell r="A161" t="str">
            <v>20101056849</v>
          </cell>
          <cell r="B161" t="str">
            <v>SAN CEFERINO SA - Consumo</v>
          </cell>
        </row>
        <row r="162">
          <cell r="A162" t="str">
            <v>20269499711</v>
          </cell>
          <cell r="B162" t="str">
            <v>SAN FRANCISCO DE ASIS SAC - Utiles de esc.</v>
          </cell>
        </row>
        <row r="163">
          <cell r="A163" t="str">
            <v>20117813143</v>
          </cell>
          <cell r="B163" t="str">
            <v>SAN LUIS SA - Combustible</v>
          </cell>
        </row>
        <row r="164">
          <cell r="A164" t="str">
            <v>20117559506</v>
          </cell>
          <cell r="B164" t="str">
            <v>SAN MIGUEL SRL - Combustible</v>
          </cell>
        </row>
        <row r="165">
          <cell r="A165" t="str">
            <v>20384776419</v>
          </cell>
          <cell r="B165" t="str">
            <v>SANCHEZ CARRION SA - Petroleo</v>
          </cell>
        </row>
        <row r="166">
          <cell r="A166" t="str">
            <v>20100152356</v>
          </cell>
          <cell r="B166" t="str">
            <v>SEDAPAL - Servicios</v>
          </cell>
        </row>
        <row r="167">
          <cell r="A167" t="str">
            <v>20503482020</v>
          </cell>
          <cell r="B167" t="str">
            <v>SEGURIDAD INDUSTRIAL SAC - Extintores</v>
          </cell>
        </row>
        <row r="168">
          <cell r="A168" t="str">
            <v>20502190203</v>
          </cell>
          <cell r="B168" t="str">
            <v>SEÑOR CAUTIVO EIRL - Articulos ferreteros</v>
          </cell>
        </row>
        <row r="169">
          <cell r="A169" t="str">
            <v>10067715433</v>
          </cell>
          <cell r="B169" t="str">
            <v>SERVICIOS GENERALES - Serv. Varios</v>
          </cell>
        </row>
        <row r="170">
          <cell r="A170" t="str">
            <v>20101193242</v>
          </cell>
          <cell r="B170" t="str">
            <v>SOMACSA - Artículos ferreteros</v>
          </cell>
        </row>
        <row r="171">
          <cell r="A171" t="str">
            <v>20100070970</v>
          </cell>
          <cell r="B171" t="str">
            <v>STA ISABEL SA - Utiles de limpieza</v>
          </cell>
        </row>
        <row r="172">
          <cell r="A172" t="str">
            <v>20505248091</v>
          </cell>
          <cell r="B172" t="str">
            <v>SUPERA - Capacitación</v>
          </cell>
        </row>
        <row r="173">
          <cell r="A173" t="str">
            <v>20100049181</v>
          </cell>
          <cell r="B173" t="str">
            <v>TAY LOY SA - Útiles de Escritorio</v>
          </cell>
        </row>
        <row r="174">
          <cell r="A174" t="str">
            <v>20100017491</v>
          </cell>
          <cell r="B174" t="str">
            <v>TELEFONICA DEL PERU SAA - Servicio</v>
          </cell>
        </row>
        <row r="175">
          <cell r="A175" t="str">
            <v>10327348034</v>
          </cell>
          <cell r="B175" t="str">
            <v>TEXACO - Ss de reparación</v>
          </cell>
        </row>
        <row r="176">
          <cell r="A176" t="str">
            <v>20333707646</v>
          </cell>
          <cell r="B176" t="str">
            <v>TEXAS PRODUCTS SA - Combustible</v>
          </cell>
        </row>
        <row r="177">
          <cell r="A177" t="str">
            <v>20467534026</v>
          </cell>
          <cell r="B177" t="str">
            <v>TIM PERÚ SAC - Ss telefónico</v>
          </cell>
        </row>
        <row r="178">
          <cell r="A178" t="str">
            <v>20110778466</v>
          </cell>
          <cell r="B178" t="str">
            <v>TON S.A. - Combustible</v>
          </cell>
        </row>
        <row r="179">
          <cell r="A179" t="str">
            <v>20506021767</v>
          </cell>
          <cell r="B179" t="str">
            <v>TOWERS COMPUTER SAC - Servicio</v>
          </cell>
        </row>
        <row r="180">
          <cell r="A180" t="str">
            <v>20387968360</v>
          </cell>
          <cell r="B180" t="str">
            <v>TRIGAM SAC - Combustible</v>
          </cell>
        </row>
        <row r="181">
          <cell r="A181" t="str">
            <v>20286169458</v>
          </cell>
          <cell r="B181" t="str">
            <v>U.P.IYPRAEH - Conservas filete y mouse</v>
          </cell>
        </row>
        <row r="182">
          <cell r="A182" t="str">
            <v>10106346076</v>
          </cell>
          <cell r="B182" t="str">
            <v>UNIVERSAL - Abarrotes</v>
          </cell>
        </row>
        <row r="183">
          <cell r="A183" t="str">
            <v>20502198522</v>
          </cell>
          <cell r="B183" t="str">
            <v>V&amp;L QUALITY WORD - Analisis quimicos</v>
          </cell>
        </row>
        <row r="184">
          <cell r="A184" t="str">
            <v>20337245600</v>
          </cell>
          <cell r="B184" t="str">
            <v>VELEZ-VAUPEL Y ASOCIADOS SA - Seguros.</v>
          </cell>
        </row>
        <row r="185">
          <cell r="A185" t="str">
            <v>10069921197</v>
          </cell>
          <cell r="B185" t="str">
            <v>VICTOR FLORES MARTINEZ - Levaduras</v>
          </cell>
        </row>
        <row r="186">
          <cell r="A186" t="str">
            <v>10191266680</v>
          </cell>
          <cell r="B186" t="str">
            <v>VICTORIA - Abarrotes</v>
          </cell>
        </row>
        <row r="187">
          <cell r="A187" t="str">
            <v>10076401981</v>
          </cell>
          <cell r="B187" t="str">
            <v>Vilma Arguedas -  Consumo</v>
          </cell>
        </row>
        <row r="188">
          <cell r="A188" t="str">
            <v>20503793459</v>
          </cell>
          <cell r="B188" t="str">
            <v>VISIÓN CB SAC - Servicio de informatica</v>
          </cell>
        </row>
        <row r="189">
          <cell r="A189" t="str">
            <v>20335757697</v>
          </cell>
          <cell r="B189" t="str">
            <v>WO SA - Combustible</v>
          </cell>
        </row>
        <row r="190">
          <cell r="A190" t="str">
            <v>20333541778</v>
          </cell>
          <cell r="B190" t="str">
            <v>LIP - SUR PACIFICO SRL - Útiles de Escritorio</v>
          </cell>
        </row>
        <row r="191">
          <cell r="A191" t="str">
            <v>20100032881</v>
          </cell>
          <cell r="B191" t="str">
            <v>ABA SINGER &amp; CIA SAC - Combustible</v>
          </cell>
        </row>
        <row r="192">
          <cell r="A192" t="str">
            <v>20100826683</v>
          </cell>
          <cell r="B192" t="str">
            <v>SERVICIOS FLOCAR SA - Combustible</v>
          </cell>
        </row>
        <row r="193">
          <cell r="A193" t="str">
            <v>10103289039</v>
          </cell>
          <cell r="B193" t="str">
            <v>MERCEDES AVALOS DE SOLANO - Insumos</v>
          </cell>
        </row>
        <row r="194">
          <cell r="A194" t="str">
            <v>20263019807</v>
          </cell>
          <cell r="B194" t="str">
            <v>GRANOTEC PERÚ SA - Insumos</v>
          </cell>
        </row>
        <row r="195">
          <cell r="A195" t="str">
            <v>10098336490</v>
          </cell>
          <cell r="B195" t="str">
            <v>ZOILA FAUSTINA HURTADO HUARI - Insumos</v>
          </cell>
        </row>
        <row r="196">
          <cell r="A196" t="str">
            <v>10070253751</v>
          </cell>
          <cell r="B196" t="str">
            <v>OBDULIA ALVARADO CAMPUZANO - Insumos</v>
          </cell>
        </row>
        <row r="197">
          <cell r="A197" t="str">
            <v>10069905801</v>
          </cell>
          <cell r="B197" t="str">
            <v>JOSE MARTINEZ PORTOCARRERO - Insumos</v>
          </cell>
        </row>
        <row r="198">
          <cell r="A198" t="str">
            <v>10094894455</v>
          </cell>
          <cell r="B198" t="str">
            <v>EUFEMIA S. CAMPUZANO ALVARADO - Insumos</v>
          </cell>
        </row>
        <row r="199">
          <cell r="A199" t="str">
            <v>20327804821</v>
          </cell>
          <cell r="B199" t="str">
            <v>CATTESAC - Tasa de Embarque</v>
          </cell>
        </row>
        <row r="200">
          <cell r="A200" t="str">
            <v>20100049361</v>
          </cell>
          <cell r="B200" t="str">
            <v xml:space="preserve">ORMEÑO SA - Transporte </v>
          </cell>
        </row>
        <row r="201">
          <cell r="A201" t="str">
            <v>10012337138</v>
          </cell>
          <cell r="B201" t="str">
            <v>MARIA A. LUQUE MENDIZABAL - Utiles</v>
          </cell>
        </row>
        <row r="202">
          <cell r="A202" t="str">
            <v>20425791576</v>
          </cell>
          <cell r="B202" t="str">
            <v>MARCELO SAC - Distribuidora Maderera</v>
          </cell>
        </row>
        <row r="203">
          <cell r="A203" t="str">
            <v>20136203003</v>
          </cell>
          <cell r="B203" t="str">
            <v xml:space="preserve">CTRAL COOP. AGRARIAS - TE HUYRO LTDA. </v>
          </cell>
        </row>
        <row r="204">
          <cell r="A204" t="str">
            <v>10106329210</v>
          </cell>
          <cell r="B204" t="str">
            <v>RICARDIAN HURTADO HUARI - Insumos</v>
          </cell>
        </row>
        <row r="205">
          <cell r="A205" t="str">
            <v>10069786362</v>
          </cell>
          <cell r="B205" t="str">
            <v>GERONIMO E. YUPANQUI - Utiles Oficina.</v>
          </cell>
        </row>
        <row r="206">
          <cell r="A206" t="str">
            <v>10099705138</v>
          </cell>
          <cell r="B206" t="str">
            <v>GERBER HUAMAN ORTIZ - Ss de Imprenta</v>
          </cell>
        </row>
        <row r="207">
          <cell r="A207" t="str">
            <v>20342010211</v>
          </cell>
          <cell r="B207" t="str">
            <v>COPY CLUB EIRL - Útiles de oficina</v>
          </cell>
        </row>
        <row r="208">
          <cell r="A208" t="str">
            <v>20100304717</v>
          </cell>
          <cell r="B208" t="str">
            <v>CENTRO COPIAS SA - Servicios</v>
          </cell>
        </row>
        <row r="209">
          <cell r="A209" t="str">
            <v>10078165737</v>
          </cell>
          <cell r="B209" t="str">
            <v>MARIO J. ARRIBAS CHIMPÉN - Mantenimto Vehículo</v>
          </cell>
        </row>
        <row r="210">
          <cell r="A210" t="str">
            <v>10090888108</v>
          </cell>
          <cell r="B210" t="str">
            <v>FÉLIX A. SUÁREZ BUSTAMANTE - Art. ferreteros</v>
          </cell>
        </row>
        <row r="211">
          <cell r="A211" t="str">
            <v>10003001769</v>
          </cell>
          <cell r="B211" t="str">
            <v>BENJAMÍN R. ARAUJO SÁNCHEZ - Art. Ferreteros</v>
          </cell>
        </row>
        <row r="212">
          <cell r="A212" t="str">
            <v>10406199148</v>
          </cell>
          <cell r="B212" t="str">
            <v>JAYLANE S. LÓPEZ AGUILAR - Mercerias</v>
          </cell>
        </row>
        <row r="213">
          <cell r="A213" t="str">
            <v>100933346618</v>
          </cell>
          <cell r="B213" t="str">
            <v>CORINA NIETO MORA - Utencilios y herramientas varias</v>
          </cell>
        </row>
        <row r="214">
          <cell r="A214" t="str">
            <v>10042208944</v>
          </cell>
          <cell r="B214" t="str">
            <v>MINAYA JAVIER MERCEDES - Abarrotes en gral</v>
          </cell>
        </row>
        <row r="215">
          <cell r="A215" t="str">
            <v>20131369981</v>
          </cell>
          <cell r="B215" t="str">
            <v>INEI - Ss de Reproducción de Planos</v>
          </cell>
        </row>
        <row r="216">
          <cell r="A216" t="str">
            <v>20333707846</v>
          </cell>
          <cell r="B216" t="str">
            <v>EST. Ss TEXAS PRODUCTS SA - Combustible</v>
          </cell>
        </row>
        <row r="217">
          <cell r="A217" t="str">
            <v>20101256356</v>
          </cell>
          <cell r="B217" t="str">
            <v>LUBRI-SUR S.A. - Combustible</v>
          </cell>
        </row>
        <row r="218">
          <cell r="A218" t="str">
            <v>20423204801</v>
          </cell>
          <cell r="B218" t="str">
            <v>CORPORACIÓN SAN LI S.A. - Combustible</v>
          </cell>
        </row>
        <row r="219">
          <cell r="A219" t="str">
            <v>20131368071</v>
          </cell>
          <cell r="B219" t="str">
            <v>MUNICIPALIDAD LA VICTORIA - Estacionamiento</v>
          </cell>
        </row>
        <row r="220">
          <cell r="A220" t="str">
            <v>20142477697</v>
          </cell>
          <cell r="B220" t="str">
            <v>As MERCADO VALLE SAGRADO - Estacionamiento</v>
          </cell>
        </row>
        <row r="221">
          <cell r="A221" t="str">
            <v>17179621321</v>
          </cell>
          <cell r="B221" t="str">
            <v>ELENA ARZUBIAGA M./ SIMBOLPRINT- Ss diseño.</v>
          </cell>
        </row>
        <row r="222">
          <cell r="A222" t="str">
            <v>10078102999</v>
          </cell>
          <cell r="B222" t="str">
            <v>MERCEDES LUDOWIEG DE BUENDÍA - Consumo</v>
          </cell>
        </row>
        <row r="223">
          <cell r="A223" t="str">
            <v>20100416434</v>
          </cell>
          <cell r="B223" t="str">
            <v>LA BOUTIQUE DE LAS PASTAS - Consumo</v>
          </cell>
        </row>
        <row r="224">
          <cell r="A224" t="str">
            <v>20467489055</v>
          </cell>
          <cell r="B224" t="str">
            <v>JACANBUS SAC - Ss de Transporte.</v>
          </cell>
        </row>
        <row r="225">
          <cell r="A225" t="str">
            <v>20501414621</v>
          </cell>
          <cell r="B225" t="str">
            <v>"LA EUROPEA" EIRL - Articulos Ferreteros</v>
          </cell>
        </row>
        <row r="226">
          <cell r="A226" t="str">
            <v>20462009004</v>
          </cell>
          <cell r="B226" t="str">
            <v>CONSORCIO ALESTE SRL - Consumo</v>
          </cell>
        </row>
        <row r="227">
          <cell r="A227" t="str">
            <v>20100942675</v>
          </cell>
          <cell r="B227" t="str">
            <v>ADM. 06 DE AGOSTO SA - Combustible</v>
          </cell>
        </row>
        <row r="228">
          <cell r="A228" t="str">
            <v>20100100551</v>
          </cell>
          <cell r="B228" t="str">
            <v>A.B.G. S.A.C - Combustible</v>
          </cell>
        </row>
        <row r="229">
          <cell r="A229" t="str">
            <v>20428543875</v>
          </cell>
          <cell r="B229" t="str">
            <v>DERK S.A.C. - Combustible</v>
          </cell>
        </row>
        <row r="230">
          <cell r="A230" t="str">
            <v>20100294576</v>
          </cell>
          <cell r="B230" t="str">
            <v>REPROX SA - Copias A3</v>
          </cell>
        </row>
        <row r="231">
          <cell r="A231" t="str">
            <v>20131367776</v>
          </cell>
          <cell r="B231" t="str">
            <v>MUNI. DE BARRANCO - Estacionamiento</v>
          </cell>
        </row>
        <row r="232">
          <cell r="A232" t="str">
            <v>20131367857</v>
          </cell>
          <cell r="B232" t="str">
            <v>MUNI. DE LINCE - Estacionamiento</v>
          </cell>
        </row>
        <row r="233">
          <cell r="A233" t="str">
            <v>20136904991</v>
          </cell>
          <cell r="B233" t="str">
            <v>FERCOMSA - Estacionamiento</v>
          </cell>
        </row>
        <row r="234">
          <cell r="A234" t="str">
            <v>20502365879</v>
          </cell>
          <cell r="B234" t="str">
            <v>INDUSTRIAS TOOLS S.A.C - Equipos y Ss.</v>
          </cell>
        </row>
        <row r="235">
          <cell r="A235" t="str">
            <v>20130534211</v>
          </cell>
          <cell r="B235" t="str">
            <v>MUNICIPALIDAD DE SAN ISIDRO - Arbitrios</v>
          </cell>
        </row>
        <row r="236">
          <cell r="A236" t="str">
            <v>20100910633</v>
          </cell>
          <cell r="B236" t="str">
            <v>LOS PUCCI S.A. - Enseres</v>
          </cell>
        </row>
        <row r="237">
          <cell r="A237" t="str">
            <v>20269315688</v>
          </cell>
          <cell r="B237" t="str">
            <v>MESAJIL HNOS S.A. - Suministros de Equipos</v>
          </cell>
        </row>
        <row r="238">
          <cell r="A238" t="str">
            <v>10084979428</v>
          </cell>
          <cell r="B238" t="str">
            <v>PAYANO MARTINEZ HILARIO - Herramientas</v>
          </cell>
        </row>
        <row r="239">
          <cell r="A239" t="str">
            <v>10093097209</v>
          </cell>
          <cell r="B239" t="str">
            <v>RAFAEL A. RISCO - Ss de Fotocopias</v>
          </cell>
        </row>
        <row r="240">
          <cell r="A240" t="str">
            <v>10096655784</v>
          </cell>
          <cell r="B240" t="str">
            <v>GINO HILARIO HUAYAS - Licencia Software</v>
          </cell>
        </row>
        <row r="241">
          <cell r="A241" t="str">
            <v>10069985829</v>
          </cell>
          <cell r="B241" t="str">
            <v>MARIA ALAGÓN DE ARTEAGA - Mercerias</v>
          </cell>
        </row>
        <row r="242">
          <cell r="A242" t="str">
            <v>10084224290</v>
          </cell>
          <cell r="B242" t="str">
            <v xml:space="preserve">MATIAS A. NAPAN B. - Abarrotes </v>
          </cell>
        </row>
        <row r="243">
          <cell r="A243" t="str">
            <v>10400762614</v>
          </cell>
          <cell r="B243" t="str">
            <v>RAUL GARCIA LAVADO - Articulos Ferreteros</v>
          </cell>
        </row>
        <row r="244">
          <cell r="A244" t="str">
            <v>20471722171</v>
          </cell>
          <cell r="B244" t="str">
            <v>FULL COLOR DIGITAL EIRL - Ss Impresiones</v>
          </cell>
        </row>
        <row r="245">
          <cell r="A245" t="str">
            <v>10085109176</v>
          </cell>
          <cell r="B245" t="str">
            <v>FELIX ROJAS DOROTEO - Frutas</v>
          </cell>
        </row>
        <row r="246">
          <cell r="A246" t="str">
            <v>10090638764</v>
          </cell>
          <cell r="B246" t="str">
            <v>YARANGA BARRIONUEVO F.- Frutas</v>
          </cell>
        </row>
        <row r="247">
          <cell r="A247" t="str">
            <v>10069921944</v>
          </cell>
          <cell r="B247" t="str">
            <v xml:space="preserve">NESTOR CASTILLA ATENCIO - Materiales </v>
          </cell>
        </row>
        <row r="248">
          <cell r="A248" t="str">
            <v>10406151315</v>
          </cell>
          <cell r="B248" t="str">
            <v>JOSE L. REQUEJO SANCHEZ - Artículos ferreteros</v>
          </cell>
        </row>
        <row r="249">
          <cell r="A249" t="str">
            <v>20100722713</v>
          </cell>
          <cell r="B249" t="str">
            <v>COMERCIAL JCG SA - Artículos ferreteros</v>
          </cell>
        </row>
        <row r="250">
          <cell r="A250" t="str">
            <v>10075055388</v>
          </cell>
          <cell r="B250" t="str">
            <v>ANITA DAMIAN CH. - Mantenimiento vehículos</v>
          </cell>
        </row>
        <row r="251">
          <cell r="A251" t="str">
            <v>10094929054</v>
          </cell>
          <cell r="B251" t="str">
            <v>MARILÚ C. MEJÍA GÓMEZ - Artículos Ferreteros</v>
          </cell>
        </row>
        <row r="252">
          <cell r="A252" t="str">
            <v>20504327851</v>
          </cell>
          <cell r="B252" t="str">
            <v>BUCANERO PUB SAC - Consumo</v>
          </cell>
        </row>
        <row r="253">
          <cell r="A253" t="str">
            <v>20502428897</v>
          </cell>
          <cell r="B253" t="str">
            <v>GRUPO LA GAVIOTA SAC - Artículos Ferreteros</v>
          </cell>
        </row>
        <row r="254">
          <cell r="A254" t="str">
            <v>10088166090</v>
          </cell>
          <cell r="B254" t="str">
            <v>ROGER S. FALCON BARRETO - Artículos F.</v>
          </cell>
        </row>
        <row r="255">
          <cell r="A255" t="str">
            <v>20298276217</v>
          </cell>
          <cell r="B255" t="str">
            <v>SECTRIL SRL - Ss de Impresiones</v>
          </cell>
        </row>
        <row r="256">
          <cell r="A256" t="str">
            <v>10322760375</v>
          </cell>
          <cell r="B256" t="str">
            <v>CERNA FLORES RICHARD - Mercerias</v>
          </cell>
        </row>
        <row r="257">
          <cell r="A257" t="str">
            <v>20179665027</v>
          </cell>
          <cell r="B257" t="str">
            <v>TEXTILCO SAC - Estacionamiento</v>
          </cell>
        </row>
        <row r="258">
          <cell r="A258" t="str">
            <v>20143229816</v>
          </cell>
          <cell r="B258" t="str">
            <v>EMP. EDITORA EL COMERCIO SA - Publicaciones</v>
          </cell>
        </row>
        <row r="259">
          <cell r="A259" t="str">
            <v>20503235448</v>
          </cell>
          <cell r="B259" t="str">
            <v>SAN JUDAS TADEO SAC - Ss de Repuestos</v>
          </cell>
        </row>
        <row r="260">
          <cell r="A260" t="str">
            <v>20389239195</v>
          </cell>
          <cell r="B260" t="str">
            <v>CHAVIM LINER PC SAC - Herramientas de Equip</v>
          </cell>
        </row>
        <row r="261">
          <cell r="A261" t="str">
            <v>20422144936</v>
          </cell>
          <cell r="B261" t="str">
            <v>AMERICA OFFSET SRL - Compra Suministros</v>
          </cell>
        </row>
        <row r="262">
          <cell r="A262" t="str">
            <v>20505841272</v>
          </cell>
          <cell r="B262" t="str">
            <v>ETIQ. Y EMBOLTURAS SAC - C. Suministros</v>
          </cell>
        </row>
        <row r="263">
          <cell r="A263" t="str">
            <v>20263435266</v>
          </cell>
          <cell r="B263" t="str">
            <v>OXSA SRL - Regulador de valvula</v>
          </cell>
        </row>
        <row r="264">
          <cell r="A264" t="str">
            <v>10098250544</v>
          </cell>
          <cell r="B264" t="str">
            <v>IRMA R. MEJIA RODRIGUEZ - Insumos</v>
          </cell>
        </row>
        <row r="265">
          <cell r="A265" t="str">
            <v>20428788711</v>
          </cell>
          <cell r="B265" t="str">
            <v xml:space="preserve">FERRETERIA TABOADA E HIJOS SAC </v>
          </cell>
        </row>
        <row r="266">
          <cell r="A266" t="str">
            <v>20100821533</v>
          </cell>
          <cell r="B266" t="str">
            <v>SALAVERRY SAC - Reptos y Manmto Vehiculo</v>
          </cell>
        </row>
        <row r="267">
          <cell r="A267" t="str">
            <v>20123468679</v>
          </cell>
          <cell r="B267" t="str">
            <v>COESAC - Suministros para panetones</v>
          </cell>
        </row>
        <row r="268">
          <cell r="A268" t="str">
            <v>10313522691</v>
          </cell>
          <cell r="B268" t="str">
            <v>INOCENCIO ALARCÓN C. - Articulos Ferreteros</v>
          </cell>
        </row>
        <row r="269">
          <cell r="A269" t="str">
            <v>10077475988</v>
          </cell>
          <cell r="B269" t="str">
            <v>RAMIREZ CANCHARI ABILIA - Consumo</v>
          </cell>
        </row>
        <row r="270">
          <cell r="A270" t="str">
            <v>20506730148</v>
          </cell>
          <cell r="B270" t="str">
            <v>COLOR COMPUTER EIRL - Útiles de Escritorio</v>
          </cell>
        </row>
        <row r="271">
          <cell r="A271" t="str">
            <v>20383459401</v>
          </cell>
          <cell r="B271" t="str">
            <v xml:space="preserve">COMERCIAL TAMAYO Y SALGADO SRL </v>
          </cell>
        </row>
        <row r="272">
          <cell r="A272" t="str">
            <v>20251482234</v>
          </cell>
          <cell r="B272" t="str">
            <v>JFS IMPORT EIRL - Mantenimiento Vehículo</v>
          </cell>
        </row>
        <row r="273">
          <cell r="A273" t="str">
            <v>20430857861</v>
          </cell>
          <cell r="B273" t="str">
            <v>GRIFOS DIANA SAC - Combustible</v>
          </cell>
        </row>
        <row r="274">
          <cell r="A274" t="str">
            <v>10077346339</v>
          </cell>
          <cell r="B274" t="str">
            <v>JAVIER R. COLLAZOS A. - Fabricación Mobi.</v>
          </cell>
        </row>
        <row r="275">
          <cell r="A275" t="str">
            <v>10162913706</v>
          </cell>
          <cell r="B275" t="str">
            <v>NICOLAS T. CAMPUZANO P - Insumos</v>
          </cell>
        </row>
        <row r="276">
          <cell r="A276" t="str">
            <v>20136626575</v>
          </cell>
          <cell r="B276" t="str">
            <v>IVANNA EIRL - Sum. Huevos</v>
          </cell>
        </row>
        <row r="277">
          <cell r="A277" t="str">
            <v>20100075858</v>
          </cell>
          <cell r="B277" t="str">
            <v>SAN IGNACIO SAC - Combustible</v>
          </cell>
        </row>
        <row r="278">
          <cell r="A278" t="str">
            <v>10106089162</v>
          </cell>
          <cell r="B278" t="str">
            <v xml:space="preserve">EDDY R. GUTIERREZ G. - Herramientas </v>
          </cell>
        </row>
        <row r="279">
          <cell r="A279" t="str">
            <v>10403413734</v>
          </cell>
          <cell r="B279" t="str">
            <v>SAMUEL E. ALCA. - Articulos Ferreteros</v>
          </cell>
        </row>
        <row r="280">
          <cell r="A280" t="str">
            <v>10292111679</v>
          </cell>
          <cell r="B280" t="str">
            <v>CARMEN P. CABRERA P. - Art. Ferreteros</v>
          </cell>
        </row>
        <row r="281">
          <cell r="A281" t="str">
            <v>20505648197</v>
          </cell>
          <cell r="B281" t="str">
            <v>PROFEIN SRL - Art. Ferreteros</v>
          </cell>
        </row>
        <row r="282">
          <cell r="A282" t="str">
            <v>20100075181</v>
          </cell>
          <cell r="B282" t="str">
            <v>GRIFOS IBERIA S.A. - Combustible</v>
          </cell>
        </row>
        <row r="283">
          <cell r="A283" t="str">
            <v>10408577191</v>
          </cell>
          <cell r="B283" t="str">
            <v>CARLOS A. LUQUE P. - Uniformes personal</v>
          </cell>
        </row>
        <row r="284">
          <cell r="A284" t="str">
            <v>10104595753</v>
          </cell>
          <cell r="B284" t="str">
            <v>CIRO FÉLIX RIVERA BAILON - Uniformes personal</v>
          </cell>
        </row>
        <row r="285">
          <cell r="A285" t="str">
            <v>20101112421</v>
          </cell>
          <cell r="B285" t="str">
            <v>DELICIAS PERUANAS S.A. - Consumo</v>
          </cell>
        </row>
        <row r="286">
          <cell r="A286" t="str">
            <v>10093526240</v>
          </cell>
          <cell r="B286" t="str">
            <v>MANUEL GUTIERREZ C. - Materiales Electricos</v>
          </cell>
        </row>
        <row r="287">
          <cell r="A287" t="str">
            <v>10069942071</v>
          </cell>
          <cell r="B287" t="str">
            <v>BRITALDO VILLALOBOS H. - Consumo</v>
          </cell>
        </row>
        <row r="288">
          <cell r="A288" t="str">
            <v>10073363999</v>
          </cell>
          <cell r="B288" t="str">
            <v xml:space="preserve">FRANC. VEGA MONTESINOS - Materiales </v>
          </cell>
        </row>
        <row r="289">
          <cell r="A289" t="str">
            <v>20108068281</v>
          </cell>
          <cell r="B289" t="str">
            <v>APART. HOTEL LAS AMERICAS - Consumo</v>
          </cell>
        </row>
        <row r="290">
          <cell r="A290" t="str">
            <v>20173131691</v>
          </cell>
          <cell r="B290" t="str">
            <v>CARTONERIA MEDINA SRL - Herramientas</v>
          </cell>
        </row>
        <row r="291">
          <cell r="A291" t="str">
            <v>20171986967</v>
          </cell>
          <cell r="B291" t="str">
            <v>TRANSAM - SRL - Ss de Transporte.</v>
          </cell>
        </row>
        <row r="292">
          <cell r="A292" t="str">
            <v>20213630904</v>
          </cell>
          <cell r="B292" t="str">
            <v>MARUINSAC - Suministros</v>
          </cell>
        </row>
        <row r="293">
          <cell r="A293" t="str">
            <v>10083751474</v>
          </cell>
          <cell r="B293" t="str">
            <v>ASCENCIO CARRIZALES M. - Art. Ferreteros</v>
          </cell>
        </row>
        <row r="294">
          <cell r="A294" t="str">
            <v>10416437985</v>
          </cell>
          <cell r="B294" t="str">
            <v>PEDRO R. ALARCON - Ss de Computo</v>
          </cell>
        </row>
        <row r="295">
          <cell r="A295" t="str">
            <v>15503581351</v>
          </cell>
          <cell r="B295" t="str">
            <v>MARTIN A. ANDÍA N. - Art. De Limpieza</v>
          </cell>
        </row>
        <row r="296">
          <cell r="A296" t="str">
            <v>10089016946</v>
          </cell>
          <cell r="B296" t="str">
            <v>SANTOS GUERREROS - Utiles de oficina</v>
          </cell>
        </row>
        <row r="297">
          <cell r="A297" t="str">
            <v>20434327611</v>
          </cell>
          <cell r="B297" t="str">
            <v>SUPERTEC S.A.C. - Suministro de Equip. Computo</v>
          </cell>
        </row>
        <row r="298">
          <cell r="A298" t="str">
            <v>20198242684</v>
          </cell>
          <cell r="B298" t="str">
            <v>INV. SAN ROQUE EIRL - Insumos Pant.</v>
          </cell>
        </row>
        <row r="299">
          <cell r="A299" t="str">
            <v>20462544902</v>
          </cell>
          <cell r="B299" t="str">
            <v>LA MURALLA SAC - Insumos Pant.</v>
          </cell>
        </row>
        <row r="300">
          <cell r="A300" t="str">
            <v>20330032422</v>
          </cell>
          <cell r="B300" t="str">
            <v>FACTORIA LUBRITO EIRL - Ss de Rep. Y Mantmto</v>
          </cell>
        </row>
      </sheetData>
      <sheetData sheetId="1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facebook.com/AlertaLaboralPeru" TargetMode="External"/><Relationship Id="rId1" Type="http://schemas.openxmlformats.org/officeDocument/2006/relationships/hyperlink" Target="http://www.alerta-labora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U151"/>
  <sheetViews>
    <sheetView tabSelected="1" zoomScaleNormal="100" workbookViewId="0">
      <pane xSplit="4" ySplit="5" topLeftCell="I6" activePane="bottomRight" state="frozen"/>
      <selection pane="topRight" activeCell="E1" sqref="E1"/>
      <selection pane="bottomLeft" activeCell="A6" sqref="A6"/>
      <selection pane="bottomRight" activeCell="I6" sqref="I6"/>
    </sheetView>
  </sheetViews>
  <sheetFormatPr baseColWidth="10" defaultRowHeight="12.75" x14ac:dyDescent="0.2"/>
  <cols>
    <col min="1" max="1" width="8.5703125" style="124" customWidth="1"/>
    <col min="2" max="2" width="40.28515625" style="100" bestFit="1" customWidth="1"/>
    <col min="3" max="4" width="11.42578125" style="100"/>
    <col min="5" max="5" width="11.42578125" style="124"/>
    <col min="6" max="6" width="10.140625" style="8" customWidth="1"/>
    <col min="7" max="7" width="7.140625" style="8" customWidth="1"/>
    <col min="8" max="8" width="12.85546875" style="8" customWidth="1"/>
    <col min="9" max="9" width="11" style="100" customWidth="1"/>
    <col min="10" max="10" width="14.140625" style="8" customWidth="1"/>
    <col min="11" max="11" width="23.85546875" style="100" bestFit="1" customWidth="1"/>
    <col min="12" max="12" width="22.140625" style="103" bestFit="1" customWidth="1"/>
    <col min="13" max="14" width="13.7109375" style="124" customWidth="1"/>
    <col min="15" max="15" width="11.42578125" style="100"/>
    <col min="16" max="16" width="11.42578125" style="124"/>
    <col min="17" max="17" width="13.42578125" style="124" customWidth="1"/>
    <col min="18" max="18" width="14.5703125" style="137" customWidth="1"/>
    <col min="19" max="19" width="9.7109375" style="124" bestFit="1" customWidth="1"/>
    <col min="20" max="16384" width="11.42578125" style="100"/>
  </cols>
  <sheetData>
    <row r="1" spans="1:21" ht="15" x14ac:dyDescent="0.3">
      <c r="A1" s="124" t="s">
        <v>76</v>
      </c>
      <c r="B1" s="101" t="s">
        <v>77</v>
      </c>
      <c r="C1" s="102" t="s">
        <v>68</v>
      </c>
      <c r="D1" s="146" t="s">
        <v>73</v>
      </c>
    </row>
    <row r="2" spans="1:21" x14ac:dyDescent="0.2">
      <c r="A2" s="124" t="s">
        <v>75</v>
      </c>
      <c r="B2" s="104" t="s">
        <v>78</v>
      </c>
      <c r="N2" s="133"/>
      <c r="T2" s="145">
        <f>+D6</f>
        <v>42125</v>
      </c>
      <c r="U2" s="140" t="s">
        <v>83</v>
      </c>
    </row>
    <row r="3" spans="1:21" x14ac:dyDescent="0.2">
      <c r="A3" s="124" t="s">
        <v>74</v>
      </c>
      <c r="B3" s="100" t="s">
        <v>53</v>
      </c>
      <c r="C3" s="147" t="s">
        <v>81</v>
      </c>
      <c r="D3" s="105">
        <v>42689</v>
      </c>
      <c r="E3" s="129"/>
      <c r="F3" s="106"/>
      <c r="G3" s="106"/>
      <c r="H3" s="107"/>
      <c r="I3" s="107"/>
      <c r="J3" s="106"/>
      <c r="K3" s="106"/>
      <c r="L3" s="106"/>
      <c r="M3" s="129"/>
      <c r="N3" s="129"/>
      <c r="O3" s="106"/>
      <c r="P3" s="129"/>
      <c r="Q3" s="129"/>
      <c r="R3" s="129"/>
      <c r="S3" s="129"/>
      <c r="T3" s="145">
        <f>+E6</f>
        <v>42308</v>
      </c>
      <c r="U3" s="140" t="s">
        <v>84</v>
      </c>
    </row>
    <row r="4" spans="1:21" s="124" customFormat="1" ht="12.75" customHeight="1" x14ac:dyDescent="0.2">
      <c r="A4" s="125" t="s">
        <v>64</v>
      </c>
      <c r="B4" s="125" t="s">
        <v>11</v>
      </c>
      <c r="C4" s="130" t="s">
        <v>8</v>
      </c>
      <c r="D4" s="130" t="s">
        <v>14</v>
      </c>
      <c r="E4" s="130" t="s">
        <v>26</v>
      </c>
      <c r="F4" s="141" t="s">
        <v>9</v>
      </c>
      <c r="G4" s="134" t="s">
        <v>10</v>
      </c>
      <c r="H4" s="134" t="s">
        <v>89</v>
      </c>
      <c r="I4" s="134" t="s">
        <v>88</v>
      </c>
      <c r="J4" s="134" t="s">
        <v>12</v>
      </c>
      <c r="K4" s="141" t="s">
        <v>15</v>
      </c>
      <c r="L4" s="142" t="s">
        <v>16</v>
      </c>
      <c r="M4" s="134" t="s">
        <v>13</v>
      </c>
      <c r="N4" s="134" t="s">
        <v>19</v>
      </c>
      <c r="O4" s="141" t="s">
        <v>17</v>
      </c>
      <c r="P4" s="134" t="s">
        <v>63</v>
      </c>
      <c r="Q4" s="134" t="s">
        <v>62</v>
      </c>
      <c r="R4" s="134" t="s">
        <v>67</v>
      </c>
      <c r="S4" s="134" t="s">
        <v>65</v>
      </c>
      <c r="T4" s="134" t="s">
        <v>66</v>
      </c>
      <c r="U4" s="134" t="s">
        <v>82</v>
      </c>
    </row>
    <row r="5" spans="1:21" s="124" customFormat="1" ht="20.25" customHeight="1" x14ac:dyDescent="0.2">
      <c r="A5" s="126"/>
      <c r="B5" s="126"/>
      <c r="C5" s="131"/>
      <c r="D5" s="131"/>
      <c r="E5" s="131"/>
      <c r="F5" s="143"/>
      <c r="G5" s="135"/>
      <c r="H5" s="135"/>
      <c r="I5" s="135"/>
      <c r="J5" s="135"/>
      <c r="K5" s="143"/>
      <c r="L5" s="144"/>
      <c r="M5" s="135"/>
      <c r="N5" s="135"/>
      <c r="O5" s="143"/>
      <c r="P5" s="135"/>
      <c r="Q5" s="135"/>
      <c r="R5" s="135"/>
      <c r="S5" s="135"/>
      <c r="T5" s="135"/>
      <c r="U5" s="135"/>
    </row>
    <row r="6" spans="1:21" x14ac:dyDescent="0.2">
      <c r="A6" s="127">
        <v>1</v>
      </c>
      <c r="B6" s="108" t="s">
        <v>70</v>
      </c>
      <c r="C6" s="109">
        <v>40562</v>
      </c>
      <c r="D6" s="109">
        <v>42125</v>
      </c>
      <c r="E6" s="132">
        <f t="shared" ref="E6:E37" si="0">+EOMONTH(D6,5)</f>
        <v>42308</v>
      </c>
      <c r="F6" s="111">
        <v>2000</v>
      </c>
      <c r="G6" s="111">
        <v>0</v>
      </c>
      <c r="H6" s="111">
        <v>0</v>
      </c>
      <c r="I6" s="112"/>
      <c r="J6" s="111">
        <v>166.66666666666666</v>
      </c>
      <c r="K6" s="113" t="s">
        <v>54</v>
      </c>
      <c r="L6" s="114" t="s">
        <v>90</v>
      </c>
      <c r="M6" s="136">
        <f t="shared" ref="M6:M37" si="1">IF(C6&gt;D6,QUOTIENT(DAYS360(C6,E6),30),6)</f>
        <v>6</v>
      </c>
      <c r="N6" s="136">
        <f t="shared" ref="N6:N37" si="2">IF(C6&gt;D6,MOD(DAYS360(C6,E6),30),0)</f>
        <v>0</v>
      </c>
      <c r="O6" s="115" t="s">
        <v>69</v>
      </c>
      <c r="P6" s="148">
        <f>IF(U6="MYPE",((SUM(F6:I6)+(J6/6))/2),(SUM(F6:I6)+(J6/6)))</f>
        <v>1013.8888888888889</v>
      </c>
      <c r="Q6" s="148">
        <f t="shared" ref="Q6:Q37" si="3">ROUND(((P6/12)*M6)+((P6/12/30)*N6),2)</f>
        <v>506.94</v>
      </c>
      <c r="R6" s="148">
        <f>SUM(F6:I6)</f>
        <v>2000</v>
      </c>
      <c r="S6" s="148">
        <f>ROUND(Q6,2)</f>
        <v>506.94</v>
      </c>
      <c r="T6" s="115">
        <v>100</v>
      </c>
      <c r="U6" s="115" t="s">
        <v>83</v>
      </c>
    </row>
    <row r="7" spans="1:21" x14ac:dyDescent="0.2">
      <c r="A7" s="127">
        <v>2</v>
      </c>
      <c r="B7" s="108" t="s">
        <v>70</v>
      </c>
      <c r="C7" s="109">
        <v>40562</v>
      </c>
      <c r="D7" s="109">
        <v>42125</v>
      </c>
      <c r="E7" s="132">
        <f t="shared" si="0"/>
        <v>42308</v>
      </c>
      <c r="F7" s="111">
        <v>1220</v>
      </c>
      <c r="G7" s="111">
        <v>0</v>
      </c>
      <c r="H7" s="111">
        <v>165.20833333333331</v>
      </c>
      <c r="I7" s="112"/>
      <c r="J7" s="111">
        <v>115.43402777777777</v>
      </c>
      <c r="K7" s="113" t="s">
        <v>54</v>
      </c>
      <c r="L7" s="114" t="s">
        <v>90</v>
      </c>
      <c r="M7" s="136">
        <f t="shared" si="1"/>
        <v>6</v>
      </c>
      <c r="N7" s="136">
        <f t="shared" si="2"/>
        <v>0</v>
      </c>
      <c r="O7" s="115" t="s">
        <v>69</v>
      </c>
      <c r="P7" s="148">
        <f>IF(U7="MYPE",((SUM(F7:I7)+(J7/6))/2),(SUM(F7:I7)+(J7/6)))</f>
        <v>1404.4473379629628</v>
      </c>
      <c r="Q7" s="148">
        <f t="shared" si="3"/>
        <v>702.22</v>
      </c>
      <c r="R7" s="148">
        <f t="shared" ref="R7:R64" si="4">SUM(F7:I7)</f>
        <v>1385.2083333333333</v>
      </c>
      <c r="S7" s="148">
        <f t="shared" ref="S7:S37" si="5">ROUND(Q7,2)</f>
        <v>702.22</v>
      </c>
      <c r="T7" s="115">
        <v>102</v>
      </c>
      <c r="U7" s="115" t="s">
        <v>84</v>
      </c>
    </row>
    <row r="8" spans="1:21" x14ac:dyDescent="0.2">
      <c r="A8" s="127">
        <v>3</v>
      </c>
      <c r="B8" s="108" t="s">
        <v>70</v>
      </c>
      <c r="C8" s="109">
        <v>40562</v>
      </c>
      <c r="D8" s="109">
        <v>42125</v>
      </c>
      <c r="E8" s="132">
        <f t="shared" si="0"/>
        <v>42308</v>
      </c>
      <c r="F8" s="111">
        <v>1220</v>
      </c>
      <c r="G8" s="111">
        <v>85</v>
      </c>
      <c r="H8" s="111">
        <v>165.20833333333331</v>
      </c>
      <c r="I8" s="112"/>
      <c r="J8" s="111">
        <v>115.43402777777777</v>
      </c>
      <c r="K8" s="113" t="s">
        <v>54</v>
      </c>
      <c r="L8" s="114" t="s">
        <v>90</v>
      </c>
      <c r="M8" s="136">
        <f t="shared" si="1"/>
        <v>6</v>
      </c>
      <c r="N8" s="136">
        <f t="shared" si="2"/>
        <v>0</v>
      </c>
      <c r="O8" s="115" t="s">
        <v>69</v>
      </c>
      <c r="P8" s="148">
        <f t="shared" ref="P8:P71" si="6">IF(U8="MYPE",((SUM(F8:I8)+(J8/6))/2),(SUM(F8:I8)+(J8/6)))</f>
        <v>1489.4473379629628</v>
      </c>
      <c r="Q8" s="148">
        <f t="shared" si="3"/>
        <v>744.72</v>
      </c>
      <c r="R8" s="148">
        <f t="shared" si="4"/>
        <v>1470.2083333333333</v>
      </c>
      <c r="S8" s="148">
        <f t="shared" si="5"/>
        <v>744.72</v>
      </c>
      <c r="T8" s="115">
        <v>103</v>
      </c>
      <c r="U8" s="115" t="s">
        <v>84</v>
      </c>
    </row>
    <row r="9" spans="1:21" x14ac:dyDescent="0.2">
      <c r="A9" s="127">
        <v>4</v>
      </c>
      <c r="B9" s="108" t="s">
        <v>70</v>
      </c>
      <c r="C9" s="109">
        <v>42040</v>
      </c>
      <c r="D9" s="109">
        <v>42125</v>
      </c>
      <c r="E9" s="132">
        <f t="shared" si="0"/>
        <v>42308</v>
      </c>
      <c r="F9" s="111">
        <v>890</v>
      </c>
      <c r="G9" s="111">
        <v>0</v>
      </c>
      <c r="H9" s="111">
        <v>120.52083333333334</v>
      </c>
      <c r="I9" s="112"/>
      <c r="J9" s="111">
        <v>84.210069444444443</v>
      </c>
      <c r="K9" s="113" t="s">
        <v>54</v>
      </c>
      <c r="L9" s="114" t="s">
        <v>90</v>
      </c>
      <c r="M9" s="136">
        <f t="shared" si="1"/>
        <v>6</v>
      </c>
      <c r="N9" s="136">
        <f t="shared" si="2"/>
        <v>0</v>
      </c>
      <c r="O9" s="115" t="s">
        <v>69</v>
      </c>
      <c r="P9" s="148">
        <f t="shared" si="6"/>
        <v>512.2779224537037</v>
      </c>
      <c r="Q9" s="148">
        <f t="shared" si="3"/>
        <v>256.14</v>
      </c>
      <c r="R9" s="148">
        <f t="shared" si="4"/>
        <v>1010.5208333333334</v>
      </c>
      <c r="S9" s="148">
        <f t="shared" si="5"/>
        <v>256.14</v>
      </c>
      <c r="T9" s="115">
        <v>105</v>
      </c>
      <c r="U9" s="115" t="s">
        <v>83</v>
      </c>
    </row>
    <row r="10" spans="1:21" x14ac:dyDescent="0.2">
      <c r="A10" s="127">
        <v>5</v>
      </c>
      <c r="B10" s="108" t="s">
        <v>70</v>
      </c>
      <c r="C10" s="109">
        <v>42217</v>
      </c>
      <c r="D10" s="109">
        <v>42125</v>
      </c>
      <c r="E10" s="132">
        <f t="shared" si="0"/>
        <v>42308</v>
      </c>
      <c r="F10" s="111">
        <v>1000</v>
      </c>
      <c r="G10" s="111">
        <v>0</v>
      </c>
      <c r="H10" s="111">
        <v>135.41666666666669</v>
      </c>
      <c r="I10" s="112"/>
      <c r="J10" s="111">
        <v>47.83468364197531</v>
      </c>
      <c r="K10" s="113" t="s">
        <v>54</v>
      </c>
      <c r="L10" s="114" t="s">
        <v>90</v>
      </c>
      <c r="M10" s="136">
        <f t="shared" si="1"/>
        <v>3</v>
      </c>
      <c r="N10" s="136">
        <f t="shared" si="2"/>
        <v>0</v>
      </c>
      <c r="O10" s="115" t="s">
        <v>69</v>
      </c>
      <c r="P10" s="148">
        <f t="shared" si="6"/>
        <v>571.69455697016463</v>
      </c>
      <c r="Q10" s="148">
        <f t="shared" si="3"/>
        <v>142.91999999999999</v>
      </c>
      <c r="R10" s="148">
        <f t="shared" si="4"/>
        <v>1135.4166666666667</v>
      </c>
      <c r="S10" s="148">
        <f t="shared" si="5"/>
        <v>142.91999999999999</v>
      </c>
      <c r="T10" s="115">
        <v>106</v>
      </c>
      <c r="U10" s="115" t="s">
        <v>83</v>
      </c>
    </row>
    <row r="11" spans="1:21" x14ac:dyDescent="0.2">
      <c r="A11" s="127">
        <v>6</v>
      </c>
      <c r="B11" s="108" t="s">
        <v>70</v>
      </c>
      <c r="C11" s="109">
        <v>42125</v>
      </c>
      <c r="D11" s="109">
        <v>42125</v>
      </c>
      <c r="E11" s="132">
        <f t="shared" si="0"/>
        <v>42308</v>
      </c>
      <c r="F11" s="111">
        <v>900</v>
      </c>
      <c r="G11" s="111">
        <v>85</v>
      </c>
      <c r="H11" s="111">
        <v>121.875</v>
      </c>
      <c r="I11" s="112"/>
      <c r="J11" s="111">
        <v>86.575520833333329</v>
      </c>
      <c r="K11" s="113" t="s">
        <v>54</v>
      </c>
      <c r="L11" s="114" t="s">
        <v>90</v>
      </c>
      <c r="M11" s="136">
        <f t="shared" si="1"/>
        <v>6</v>
      </c>
      <c r="N11" s="136">
        <f t="shared" si="2"/>
        <v>0</v>
      </c>
      <c r="O11" s="115" t="s">
        <v>69</v>
      </c>
      <c r="P11" s="148">
        <f t="shared" si="6"/>
        <v>560.65212673611109</v>
      </c>
      <c r="Q11" s="148">
        <f t="shared" si="3"/>
        <v>280.33</v>
      </c>
      <c r="R11" s="148">
        <f t="shared" si="4"/>
        <v>1106.875</v>
      </c>
      <c r="S11" s="148">
        <f t="shared" si="5"/>
        <v>280.33</v>
      </c>
      <c r="T11" s="115">
        <v>108</v>
      </c>
      <c r="U11" s="115" t="s">
        <v>83</v>
      </c>
    </row>
    <row r="12" spans="1:21" x14ac:dyDescent="0.2">
      <c r="A12" s="127">
        <v>7</v>
      </c>
      <c r="B12" s="108" t="s">
        <v>70</v>
      </c>
      <c r="C12" s="109">
        <v>40562</v>
      </c>
      <c r="D12" s="109">
        <v>42125</v>
      </c>
      <c r="E12" s="132">
        <f t="shared" si="0"/>
        <v>42308</v>
      </c>
      <c r="F12" s="111">
        <v>980</v>
      </c>
      <c r="G12" s="111">
        <v>0</v>
      </c>
      <c r="H12" s="111">
        <v>132.70833333333331</v>
      </c>
      <c r="I12" s="112"/>
      <c r="J12" s="111">
        <v>92.725694444444443</v>
      </c>
      <c r="K12" s="113" t="s">
        <v>54</v>
      </c>
      <c r="L12" s="114" t="s">
        <v>90</v>
      </c>
      <c r="M12" s="136">
        <f t="shared" si="1"/>
        <v>6</v>
      </c>
      <c r="N12" s="136">
        <f t="shared" si="2"/>
        <v>0</v>
      </c>
      <c r="O12" s="115" t="s">
        <v>69</v>
      </c>
      <c r="P12" s="148">
        <f t="shared" si="6"/>
        <v>564.08130787037032</v>
      </c>
      <c r="Q12" s="148">
        <f t="shared" si="3"/>
        <v>282.04000000000002</v>
      </c>
      <c r="R12" s="148">
        <f t="shared" si="4"/>
        <v>1112.7083333333333</v>
      </c>
      <c r="S12" s="148">
        <f t="shared" si="5"/>
        <v>282.04000000000002</v>
      </c>
      <c r="T12" s="115">
        <v>109</v>
      </c>
      <c r="U12" s="115" t="s">
        <v>83</v>
      </c>
    </row>
    <row r="13" spans="1:21" x14ac:dyDescent="0.2">
      <c r="A13" s="127">
        <v>8</v>
      </c>
      <c r="B13" s="108" t="s">
        <v>70</v>
      </c>
      <c r="C13" s="109">
        <v>40562</v>
      </c>
      <c r="D13" s="109">
        <v>42125</v>
      </c>
      <c r="E13" s="132">
        <f t="shared" si="0"/>
        <v>42308</v>
      </c>
      <c r="F13" s="111">
        <v>1425</v>
      </c>
      <c r="G13" s="111">
        <v>0</v>
      </c>
      <c r="H13" s="111">
        <v>192.96875</v>
      </c>
      <c r="I13" s="112"/>
      <c r="J13" s="111">
        <v>134.83072916666666</v>
      </c>
      <c r="K13" s="113" t="s">
        <v>54</v>
      </c>
      <c r="L13" s="114" t="s">
        <v>90</v>
      </c>
      <c r="M13" s="136">
        <f t="shared" si="1"/>
        <v>6</v>
      </c>
      <c r="N13" s="136">
        <f t="shared" si="2"/>
        <v>0</v>
      </c>
      <c r="O13" s="115" t="s">
        <v>69</v>
      </c>
      <c r="P13" s="148">
        <f t="shared" si="6"/>
        <v>820.22026909722217</v>
      </c>
      <c r="Q13" s="148">
        <f t="shared" si="3"/>
        <v>410.11</v>
      </c>
      <c r="R13" s="148">
        <f t="shared" si="4"/>
        <v>1617.96875</v>
      </c>
      <c r="S13" s="148">
        <f t="shared" si="5"/>
        <v>410.11</v>
      </c>
      <c r="T13" s="115">
        <v>110</v>
      </c>
      <c r="U13" s="115" t="s">
        <v>83</v>
      </c>
    </row>
    <row r="14" spans="1:21" x14ac:dyDescent="0.2">
      <c r="A14" s="127">
        <v>9</v>
      </c>
      <c r="B14" s="108" t="s">
        <v>70</v>
      </c>
      <c r="C14" s="109">
        <v>40562</v>
      </c>
      <c r="D14" s="109">
        <v>42125</v>
      </c>
      <c r="E14" s="132">
        <f t="shared" si="0"/>
        <v>42308</v>
      </c>
      <c r="F14" s="111">
        <v>1000</v>
      </c>
      <c r="G14" s="111">
        <v>0</v>
      </c>
      <c r="H14" s="111">
        <v>0</v>
      </c>
      <c r="I14" s="112"/>
      <c r="J14" s="111">
        <v>83.333333333333329</v>
      </c>
      <c r="K14" s="113" t="s">
        <v>54</v>
      </c>
      <c r="L14" s="114" t="s">
        <v>90</v>
      </c>
      <c r="M14" s="136">
        <f t="shared" si="1"/>
        <v>6</v>
      </c>
      <c r="N14" s="136">
        <f t="shared" si="2"/>
        <v>0</v>
      </c>
      <c r="O14" s="115" t="s">
        <v>69</v>
      </c>
      <c r="P14" s="148">
        <f t="shared" si="6"/>
        <v>506.94444444444446</v>
      </c>
      <c r="Q14" s="148">
        <f t="shared" si="3"/>
        <v>253.47</v>
      </c>
      <c r="R14" s="148">
        <f t="shared" si="4"/>
        <v>1000</v>
      </c>
      <c r="S14" s="148">
        <f t="shared" si="5"/>
        <v>253.47</v>
      </c>
      <c r="T14" s="115">
        <v>111</v>
      </c>
      <c r="U14" s="115" t="s">
        <v>83</v>
      </c>
    </row>
    <row r="15" spans="1:21" x14ac:dyDescent="0.2">
      <c r="A15" s="127">
        <v>10</v>
      </c>
      <c r="B15" s="108" t="s">
        <v>70</v>
      </c>
      <c r="C15" s="109">
        <v>40562</v>
      </c>
      <c r="D15" s="109">
        <v>42125</v>
      </c>
      <c r="E15" s="132">
        <f t="shared" si="0"/>
        <v>42308</v>
      </c>
      <c r="F15" s="111">
        <v>1096</v>
      </c>
      <c r="G15" s="111">
        <v>0</v>
      </c>
      <c r="H15" s="111">
        <v>148.41666666666666</v>
      </c>
      <c r="I15" s="112"/>
      <c r="J15" s="111">
        <v>103.7013888888889</v>
      </c>
      <c r="K15" s="113" t="s">
        <v>54</v>
      </c>
      <c r="L15" s="114" t="s">
        <v>90</v>
      </c>
      <c r="M15" s="136">
        <f t="shared" si="1"/>
        <v>6</v>
      </c>
      <c r="N15" s="136">
        <f t="shared" si="2"/>
        <v>0</v>
      </c>
      <c r="O15" s="115" t="s">
        <v>69</v>
      </c>
      <c r="P15" s="148">
        <f t="shared" si="6"/>
        <v>630.85011574074076</v>
      </c>
      <c r="Q15" s="148">
        <f t="shared" si="3"/>
        <v>315.43</v>
      </c>
      <c r="R15" s="148">
        <f t="shared" si="4"/>
        <v>1244.4166666666667</v>
      </c>
      <c r="S15" s="148">
        <f t="shared" si="5"/>
        <v>315.43</v>
      </c>
      <c r="T15" s="115">
        <v>112</v>
      </c>
      <c r="U15" s="115" t="s">
        <v>83</v>
      </c>
    </row>
    <row r="16" spans="1:21" x14ac:dyDescent="0.2">
      <c r="A16" s="127">
        <v>11</v>
      </c>
      <c r="B16" s="108" t="s">
        <v>70</v>
      </c>
      <c r="C16" s="109">
        <v>40562</v>
      </c>
      <c r="D16" s="109">
        <v>42125</v>
      </c>
      <c r="E16" s="132">
        <f t="shared" si="0"/>
        <v>42308</v>
      </c>
      <c r="F16" s="111">
        <v>980</v>
      </c>
      <c r="G16" s="111">
        <v>0</v>
      </c>
      <c r="H16" s="111">
        <v>132.70833333333331</v>
      </c>
      <c r="I16" s="112"/>
      <c r="J16" s="111">
        <v>92.725694444444443</v>
      </c>
      <c r="K16" s="113" t="s">
        <v>54</v>
      </c>
      <c r="L16" s="114" t="s">
        <v>90</v>
      </c>
      <c r="M16" s="136">
        <f t="shared" si="1"/>
        <v>6</v>
      </c>
      <c r="N16" s="136">
        <f t="shared" si="2"/>
        <v>0</v>
      </c>
      <c r="O16" s="115" t="s">
        <v>69</v>
      </c>
      <c r="P16" s="148">
        <f t="shared" si="6"/>
        <v>564.08130787037032</v>
      </c>
      <c r="Q16" s="148">
        <f t="shared" si="3"/>
        <v>282.04000000000002</v>
      </c>
      <c r="R16" s="148">
        <f t="shared" si="4"/>
        <v>1112.7083333333333</v>
      </c>
      <c r="S16" s="148">
        <f t="shared" si="5"/>
        <v>282.04000000000002</v>
      </c>
      <c r="T16" s="115">
        <v>113</v>
      </c>
      <c r="U16" s="115" t="s">
        <v>83</v>
      </c>
    </row>
    <row r="17" spans="1:21" x14ac:dyDescent="0.2">
      <c r="A17" s="127">
        <v>12</v>
      </c>
      <c r="B17" s="108" t="s">
        <v>70</v>
      </c>
      <c r="C17" s="109">
        <v>41000</v>
      </c>
      <c r="D17" s="109">
        <v>42125</v>
      </c>
      <c r="E17" s="132">
        <f t="shared" si="0"/>
        <v>42308</v>
      </c>
      <c r="F17" s="111">
        <v>1096</v>
      </c>
      <c r="G17" s="111">
        <v>0</v>
      </c>
      <c r="H17" s="111">
        <v>148.41666666666666</v>
      </c>
      <c r="I17" s="112"/>
      <c r="J17" s="111">
        <v>103.7013888888889</v>
      </c>
      <c r="K17" s="113" t="s">
        <v>54</v>
      </c>
      <c r="L17" s="114" t="s">
        <v>90</v>
      </c>
      <c r="M17" s="136">
        <f t="shared" si="1"/>
        <v>6</v>
      </c>
      <c r="N17" s="136">
        <f t="shared" si="2"/>
        <v>0</v>
      </c>
      <c r="O17" s="115" t="s">
        <v>69</v>
      </c>
      <c r="P17" s="148">
        <f t="shared" si="6"/>
        <v>630.85011574074076</v>
      </c>
      <c r="Q17" s="148">
        <f t="shared" si="3"/>
        <v>315.43</v>
      </c>
      <c r="R17" s="148">
        <f t="shared" si="4"/>
        <v>1244.4166666666667</v>
      </c>
      <c r="S17" s="148">
        <f t="shared" si="5"/>
        <v>315.43</v>
      </c>
      <c r="T17" s="115">
        <v>116</v>
      </c>
      <c r="U17" s="115" t="s">
        <v>83</v>
      </c>
    </row>
    <row r="18" spans="1:21" x14ac:dyDescent="0.2">
      <c r="A18" s="127">
        <v>13</v>
      </c>
      <c r="B18" s="108" t="s">
        <v>70</v>
      </c>
      <c r="C18" s="109">
        <v>41000</v>
      </c>
      <c r="D18" s="109">
        <v>42125</v>
      </c>
      <c r="E18" s="132">
        <f t="shared" si="0"/>
        <v>42308</v>
      </c>
      <c r="F18" s="111">
        <v>850</v>
      </c>
      <c r="G18" s="111">
        <v>0</v>
      </c>
      <c r="H18" s="111">
        <v>115.10416666666666</v>
      </c>
      <c r="I18" s="112"/>
      <c r="J18" s="111">
        <v>80.425347222222214</v>
      </c>
      <c r="K18" s="113" t="s">
        <v>54</v>
      </c>
      <c r="L18" s="114" t="s">
        <v>90</v>
      </c>
      <c r="M18" s="136">
        <f t="shared" si="1"/>
        <v>6</v>
      </c>
      <c r="N18" s="136">
        <f t="shared" si="2"/>
        <v>0</v>
      </c>
      <c r="O18" s="115" t="s">
        <v>69</v>
      </c>
      <c r="P18" s="148">
        <f t="shared" si="6"/>
        <v>489.25419560185185</v>
      </c>
      <c r="Q18" s="148">
        <f t="shared" si="3"/>
        <v>244.63</v>
      </c>
      <c r="R18" s="148">
        <f t="shared" si="4"/>
        <v>965.10416666666663</v>
      </c>
      <c r="S18" s="148">
        <f t="shared" si="5"/>
        <v>244.63</v>
      </c>
      <c r="T18" s="115">
        <v>117</v>
      </c>
      <c r="U18" s="115" t="s">
        <v>83</v>
      </c>
    </row>
    <row r="19" spans="1:21" x14ac:dyDescent="0.2">
      <c r="A19" s="127">
        <v>14</v>
      </c>
      <c r="B19" s="108" t="s">
        <v>70</v>
      </c>
      <c r="C19" s="109">
        <v>41000</v>
      </c>
      <c r="D19" s="109">
        <v>42125</v>
      </c>
      <c r="E19" s="132">
        <f t="shared" si="0"/>
        <v>42308</v>
      </c>
      <c r="F19" s="111">
        <v>930</v>
      </c>
      <c r="G19" s="111">
        <v>0</v>
      </c>
      <c r="H19" s="111">
        <v>125.9375</v>
      </c>
      <c r="I19" s="112"/>
      <c r="J19" s="111">
        <v>87.994791666666671</v>
      </c>
      <c r="K19" s="113" t="s">
        <v>54</v>
      </c>
      <c r="L19" s="114" t="s">
        <v>90</v>
      </c>
      <c r="M19" s="136">
        <f t="shared" si="1"/>
        <v>6</v>
      </c>
      <c r="N19" s="136">
        <f t="shared" si="2"/>
        <v>0</v>
      </c>
      <c r="O19" s="115" t="s">
        <v>69</v>
      </c>
      <c r="P19" s="148">
        <f t="shared" si="6"/>
        <v>535.30164930555554</v>
      </c>
      <c r="Q19" s="148">
        <f t="shared" si="3"/>
        <v>267.64999999999998</v>
      </c>
      <c r="R19" s="148">
        <f t="shared" si="4"/>
        <v>1055.9375</v>
      </c>
      <c r="S19" s="148">
        <f t="shared" si="5"/>
        <v>267.64999999999998</v>
      </c>
      <c r="T19" s="115">
        <v>118</v>
      </c>
      <c r="U19" s="115" t="s">
        <v>83</v>
      </c>
    </row>
    <row r="20" spans="1:21" x14ac:dyDescent="0.2">
      <c r="A20" s="127">
        <v>15</v>
      </c>
      <c r="B20" s="108" t="s">
        <v>70</v>
      </c>
      <c r="C20" s="109">
        <v>41000</v>
      </c>
      <c r="D20" s="109">
        <v>42125</v>
      </c>
      <c r="E20" s="132">
        <f t="shared" si="0"/>
        <v>42308</v>
      </c>
      <c r="F20" s="111">
        <v>908</v>
      </c>
      <c r="G20" s="111">
        <v>0</v>
      </c>
      <c r="H20" s="111">
        <v>122.95833333333331</v>
      </c>
      <c r="I20" s="112"/>
      <c r="J20" s="111">
        <v>85.913194444444443</v>
      </c>
      <c r="K20" s="113" t="s">
        <v>54</v>
      </c>
      <c r="L20" s="114" t="s">
        <v>90</v>
      </c>
      <c r="M20" s="136">
        <f t="shared" si="1"/>
        <v>6</v>
      </c>
      <c r="N20" s="136">
        <f t="shared" si="2"/>
        <v>0</v>
      </c>
      <c r="O20" s="115" t="s">
        <v>69</v>
      </c>
      <c r="P20" s="148">
        <f t="shared" si="6"/>
        <v>522.63859953703695</v>
      </c>
      <c r="Q20" s="148">
        <f t="shared" si="3"/>
        <v>261.32</v>
      </c>
      <c r="R20" s="148">
        <f t="shared" si="4"/>
        <v>1030.9583333333333</v>
      </c>
      <c r="S20" s="148">
        <f t="shared" si="5"/>
        <v>261.32</v>
      </c>
      <c r="T20" s="115">
        <v>119</v>
      </c>
      <c r="U20" s="115" t="s">
        <v>83</v>
      </c>
    </row>
    <row r="21" spans="1:21" s="116" customFormat="1" x14ac:dyDescent="0.2">
      <c r="A21" s="127">
        <v>16</v>
      </c>
      <c r="B21" s="108" t="s">
        <v>70</v>
      </c>
      <c r="C21" s="109">
        <v>41000</v>
      </c>
      <c r="D21" s="109">
        <v>42125</v>
      </c>
      <c r="E21" s="132">
        <f t="shared" si="0"/>
        <v>42308</v>
      </c>
      <c r="F21" s="111">
        <v>907</v>
      </c>
      <c r="G21" s="111">
        <v>0</v>
      </c>
      <c r="H21" s="111">
        <v>122.82291666666669</v>
      </c>
      <c r="I21" s="112"/>
      <c r="J21" s="111">
        <v>85.8185763888889</v>
      </c>
      <c r="K21" s="113" t="s">
        <v>54</v>
      </c>
      <c r="L21" s="114" t="s">
        <v>90</v>
      </c>
      <c r="M21" s="136">
        <f t="shared" si="1"/>
        <v>6</v>
      </c>
      <c r="N21" s="136">
        <f t="shared" si="2"/>
        <v>0</v>
      </c>
      <c r="O21" s="115" t="s">
        <v>69</v>
      </c>
      <c r="P21" s="148">
        <f t="shared" si="6"/>
        <v>522.06300636574076</v>
      </c>
      <c r="Q21" s="148">
        <f t="shared" si="3"/>
        <v>261.02999999999997</v>
      </c>
      <c r="R21" s="148">
        <f t="shared" si="4"/>
        <v>1029.8229166666667</v>
      </c>
      <c r="S21" s="148">
        <f t="shared" si="5"/>
        <v>261.02999999999997</v>
      </c>
      <c r="T21" s="115">
        <v>120</v>
      </c>
      <c r="U21" s="115" t="s">
        <v>83</v>
      </c>
    </row>
    <row r="22" spans="1:21" x14ac:dyDescent="0.2">
      <c r="A22" s="127">
        <v>17</v>
      </c>
      <c r="B22" s="108" t="s">
        <v>70</v>
      </c>
      <c r="C22" s="109">
        <v>41000</v>
      </c>
      <c r="D22" s="109">
        <v>42125</v>
      </c>
      <c r="E22" s="132">
        <f t="shared" si="0"/>
        <v>42308</v>
      </c>
      <c r="F22" s="111">
        <v>908</v>
      </c>
      <c r="G22" s="111">
        <v>0</v>
      </c>
      <c r="H22" s="111">
        <v>122.95833333333331</v>
      </c>
      <c r="I22" s="112"/>
      <c r="J22" s="111">
        <v>85.913194444444443</v>
      </c>
      <c r="K22" s="113" t="s">
        <v>54</v>
      </c>
      <c r="L22" s="114" t="s">
        <v>90</v>
      </c>
      <c r="M22" s="136">
        <f t="shared" si="1"/>
        <v>6</v>
      </c>
      <c r="N22" s="136">
        <f t="shared" si="2"/>
        <v>0</v>
      </c>
      <c r="O22" s="115" t="s">
        <v>69</v>
      </c>
      <c r="P22" s="148">
        <f t="shared" si="6"/>
        <v>522.63859953703695</v>
      </c>
      <c r="Q22" s="148">
        <f t="shared" si="3"/>
        <v>261.32</v>
      </c>
      <c r="R22" s="148">
        <f t="shared" si="4"/>
        <v>1030.9583333333333</v>
      </c>
      <c r="S22" s="148">
        <f t="shared" si="5"/>
        <v>261.32</v>
      </c>
      <c r="T22" s="115">
        <v>124</v>
      </c>
      <c r="U22" s="115" t="s">
        <v>83</v>
      </c>
    </row>
    <row r="23" spans="1:21" x14ac:dyDescent="0.2">
      <c r="A23" s="127">
        <v>18</v>
      </c>
      <c r="B23" s="108" t="s">
        <v>70</v>
      </c>
      <c r="C23" s="109">
        <v>41000</v>
      </c>
      <c r="D23" s="109">
        <v>42125</v>
      </c>
      <c r="E23" s="132">
        <f t="shared" si="0"/>
        <v>42308</v>
      </c>
      <c r="F23" s="111">
        <v>1014</v>
      </c>
      <c r="G23" s="111">
        <v>0</v>
      </c>
      <c r="H23" s="111">
        <v>137.3125</v>
      </c>
      <c r="I23" s="112"/>
      <c r="J23" s="111">
        <v>95.942708333333329</v>
      </c>
      <c r="K23" s="113" t="s">
        <v>54</v>
      </c>
      <c r="L23" s="114" t="s">
        <v>90</v>
      </c>
      <c r="M23" s="136">
        <f t="shared" si="1"/>
        <v>6</v>
      </c>
      <c r="N23" s="136">
        <f t="shared" si="2"/>
        <v>0</v>
      </c>
      <c r="O23" s="115" t="s">
        <v>69</v>
      </c>
      <c r="P23" s="148">
        <f t="shared" si="6"/>
        <v>583.65147569444446</v>
      </c>
      <c r="Q23" s="148">
        <f t="shared" si="3"/>
        <v>291.83</v>
      </c>
      <c r="R23" s="148">
        <f t="shared" si="4"/>
        <v>1151.3125</v>
      </c>
      <c r="S23" s="148">
        <f t="shared" si="5"/>
        <v>291.83</v>
      </c>
      <c r="T23" s="115">
        <v>125</v>
      </c>
      <c r="U23" s="115" t="s">
        <v>83</v>
      </c>
    </row>
    <row r="24" spans="1:21" x14ac:dyDescent="0.2">
      <c r="A24" s="127">
        <v>19</v>
      </c>
      <c r="B24" s="108" t="s">
        <v>70</v>
      </c>
      <c r="C24" s="109">
        <v>41000</v>
      </c>
      <c r="D24" s="109">
        <v>42125</v>
      </c>
      <c r="E24" s="132">
        <f t="shared" si="0"/>
        <v>42308</v>
      </c>
      <c r="F24" s="111">
        <v>1014</v>
      </c>
      <c r="G24" s="111">
        <v>0</v>
      </c>
      <c r="H24" s="111">
        <v>137.3125</v>
      </c>
      <c r="I24" s="112"/>
      <c r="J24" s="111">
        <v>95.942708333333329</v>
      </c>
      <c r="K24" s="113" t="s">
        <v>54</v>
      </c>
      <c r="L24" s="114" t="s">
        <v>90</v>
      </c>
      <c r="M24" s="136">
        <f t="shared" si="1"/>
        <v>6</v>
      </c>
      <c r="N24" s="136">
        <f t="shared" si="2"/>
        <v>0</v>
      </c>
      <c r="O24" s="115" t="s">
        <v>69</v>
      </c>
      <c r="P24" s="148">
        <f t="shared" si="6"/>
        <v>583.65147569444446</v>
      </c>
      <c r="Q24" s="148">
        <f t="shared" si="3"/>
        <v>291.83</v>
      </c>
      <c r="R24" s="148">
        <f t="shared" si="4"/>
        <v>1151.3125</v>
      </c>
      <c r="S24" s="148">
        <f t="shared" si="5"/>
        <v>291.83</v>
      </c>
      <c r="T24" s="115">
        <v>126</v>
      </c>
      <c r="U24" s="115" t="s">
        <v>83</v>
      </c>
    </row>
    <row r="25" spans="1:21" x14ac:dyDescent="0.2">
      <c r="A25" s="127">
        <v>20</v>
      </c>
      <c r="B25" s="108" t="s">
        <v>70</v>
      </c>
      <c r="C25" s="109">
        <v>41760</v>
      </c>
      <c r="D25" s="109">
        <v>42125</v>
      </c>
      <c r="E25" s="132">
        <f t="shared" si="0"/>
        <v>42308</v>
      </c>
      <c r="F25" s="111">
        <v>800</v>
      </c>
      <c r="G25" s="111">
        <v>0</v>
      </c>
      <c r="H25" s="111">
        <v>108.33333333333334</v>
      </c>
      <c r="I25" s="112"/>
      <c r="J25" s="111">
        <v>75.694444444444443</v>
      </c>
      <c r="K25" s="113" t="s">
        <v>54</v>
      </c>
      <c r="L25" s="114" t="s">
        <v>90</v>
      </c>
      <c r="M25" s="136">
        <f t="shared" si="1"/>
        <v>6</v>
      </c>
      <c r="N25" s="136">
        <f t="shared" si="2"/>
        <v>0</v>
      </c>
      <c r="O25" s="115" t="s">
        <v>69</v>
      </c>
      <c r="P25" s="148">
        <f t="shared" si="6"/>
        <v>460.47453703703707</v>
      </c>
      <c r="Q25" s="148">
        <f t="shared" si="3"/>
        <v>230.24</v>
      </c>
      <c r="R25" s="148">
        <f t="shared" si="4"/>
        <v>908.33333333333337</v>
      </c>
      <c r="S25" s="148">
        <f t="shared" si="5"/>
        <v>230.24</v>
      </c>
      <c r="T25" s="115">
        <v>129</v>
      </c>
      <c r="U25" s="115" t="s">
        <v>83</v>
      </c>
    </row>
    <row r="26" spans="1:21" x14ac:dyDescent="0.2">
      <c r="A26" s="127">
        <v>21</v>
      </c>
      <c r="B26" s="108" t="s">
        <v>70</v>
      </c>
      <c r="C26" s="109">
        <v>41030</v>
      </c>
      <c r="D26" s="109">
        <v>42125</v>
      </c>
      <c r="E26" s="132">
        <f t="shared" si="0"/>
        <v>42308</v>
      </c>
      <c r="F26" s="111">
        <v>1000</v>
      </c>
      <c r="G26" s="111">
        <v>0</v>
      </c>
      <c r="H26" s="111">
        <v>135.41666666666669</v>
      </c>
      <c r="I26" s="112"/>
      <c r="J26" s="111">
        <v>94.618055555555557</v>
      </c>
      <c r="K26" s="113" t="s">
        <v>54</v>
      </c>
      <c r="L26" s="114" t="s">
        <v>90</v>
      </c>
      <c r="M26" s="136">
        <f t="shared" si="1"/>
        <v>6</v>
      </c>
      <c r="N26" s="136">
        <f t="shared" si="2"/>
        <v>0</v>
      </c>
      <c r="O26" s="115" t="s">
        <v>69</v>
      </c>
      <c r="P26" s="148">
        <f t="shared" si="6"/>
        <v>575.5931712962963</v>
      </c>
      <c r="Q26" s="148">
        <f t="shared" si="3"/>
        <v>287.8</v>
      </c>
      <c r="R26" s="148">
        <f t="shared" si="4"/>
        <v>1135.4166666666667</v>
      </c>
      <c r="S26" s="148">
        <f t="shared" si="5"/>
        <v>287.8</v>
      </c>
      <c r="T26" s="115">
        <v>131</v>
      </c>
      <c r="U26" s="115" t="s">
        <v>83</v>
      </c>
    </row>
    <row r="27" spans="1:21" x14ac:dyDescent="0.2">
      <c r="A27" s="127">
        <v>22</v>
      </c>
      <c r="B27" s="108" t="s">
        <v>70</v>
      </c>
      <c r="C27" s="109">
        <v>41091</v>
      </c>
      <c r="D27" s="109">
        <v>42125</v>
      </c>
      <c r="E27" s="132">
        <f t="shared" si="0"/>
        <v>42308</v>
      </c>
      <c r="F27" s="111">
        <v>1200</v>
      </c>
      <c r="G27" s="111">
        <v>0</v>
      </c>
      <c r="H27" s="111">
        <v>162.5</v>
      </c>
      <c r="I27" s="112"/>
      <c r="J27" s="111">
        <v>113.54166666666667</v>
      </c>
      <c r="K27" s="113" t="s">
        <v>54</v>
      </c>
      <c r="L27" s="114" t="s">
        <v>90</v>
      </c>
      <c r="M27" s="136">
        <f t="shared" si="1"/>
        <v>6</v>
      </c>
      <c r="N27" s="136">
        <f t="shared" si="2"/>
        <v>0</v>
      </c>
      <c r="O27" s="115" t="s">
        <v>69</v>
      </c>
      <c r="P27" s="148">
        <f t="shared" si="6"/>
        <v>690.71180555555554</v>
      </c>
      <c r="Q27" s="148">
        <f t="shared" si="3"/>
        <v>345.36</v>
      </c>
      <c r="R27" s="148">
        <f t="shared" si="4"/>
        <v>1362.5</v>
      </c>
      <c r="S27" s="148">
        <f t="shared" si="5"/>
        <v>345.36</v>
      </c>
      <c r="T27" s="115">
        <v>133</v>
      </c>
      <c r="U27" s="115" t="s">
        <v>83</v>
      </c>
    </row>
    <row r="28" spans="1:21" x14ac:dyDescent="0.2">
      <c r="A28" s="127">
        <v>23</v>
      </c>
      <c r="B28" s="108" t="s">
        <v>70</v>
      </c>
      <c r="C28" s="109">
        <v>42283</v>
      </c>
      <c r="D28" s="109">
        <v>42125</v>
      </c>
      <c r="E28" s="132">
        <f t="shared" si="0"/>
        <v>42308</v>
      </c>
      <c r="F28" s="111">
        <v>965</v>
      </c>
      <c r="G28" s="111">
        <v>0</v>
      </c>
      <c r="H28" s="111">
        <v>130.67708333333331</v>
      </c>
      <c r="I28" s="112"/>
      <c r="J28" s="111">
        <v>12.68144772376543</v>
      </c>
      <c r="K28" s="113" t="s">
        <v>54</v>
      </c>
      <c r="L28" s="114" t="s">
        <v>90</v>
      </c>
      <c r="M28" s="136">
        <f t="shared" si="1"/>
        <v>0</v>
      </c>
      <c r="N28" s="136">
        <f t="shared" si="2"/>
        <v>25</v>
      </c>
      <c r="O28" s="115" t="s">
        <v>69</v>
      </c>
      <c r="P28" s="148">
        <f t="shared" si="6"/>
        <v>548.89532897698041</v>
      </c>
      <c r="Q28" s="148">
        <f t="shared" si="3"/>
        <v>38.119999999999997</v>
      </c>
      <c r="R28" s="148">
        <f t="shared" si="4"/>
        <v>1095.6770833333333</v>
      </c>
      <c r="S28" s="148">
        <f t="shared" si="5"/>
        <v>38.119999999999997</v>
      </c>
      <c r="T28" s="115">
        <v>134</v>
      </c>
      <c r="U28" s="115" t="s">
        <v>83</v>
      </c>
    </row>
    <row r="29" spans="1:21" x14ac:dyDescent="0.2">
      <c r="A29" s="127">
        <v>24</v>
      </c>
      <c r="B29" s="108" t="s">
        <v>70</v>
      </c>
      <c r="C29" s="109">
        <v>41171</v>
      </c>
      <c r="D29" s="109">
        <v>42125</v>
      </c>
      <c r="E29" s="132">
        <f t="shared" si="0"/>
        <v>42308</v>
      </c>
      <c r="F29" s="111">
        <v>1200</v>
      </c>
      <c r="G29" s="111">
        <v>0</v>
      </c>
      <c r="H29" s="111">
        <v>162.5</v>
      </c>
      <c r="I29" s="112"/>
      <c r="J29" s="111">
        <v>113.54166666666667</v>
      </c>
      <c r="K29" s="113" t="s">
        <v>54</v>
      </c>
      <c r="L29" s="114" t="s">
        <v>90</v>
      </c>
      <c r="M29" s="136">
        <f t="shared" si="1"/>
        <v>6</v>
      </c>
      <c r="N29" s="136">
        <f t="shared" si="2"/>
        <v>0</v>
      </c>
      <c r="O29" s="115" t="s">
        <v>69</v>
      </c>
      <c r="P29" s="148">
        <f t="shared" si="6"/>
        <v>690.71180555555554</v>
      </c>
      <c r="Q29" s="148">
        <f t="shared" si="3"/>
        <v>345.36</v>
      </c>
      <c r="R29" s="148">
        <f t="shared" si="4"/>
        <v>1362.5</v>
      </c>
      <c r="S29" s="148">
        <f t="shared" si="5"/>
        <v>345.36</v>
      </c>
      <c r="T29" s="115">
        <v>136</v>
      </c>
      <c r="U29" s="115" t="s">
        <v>83</v>
      </c>
    </row>
    <row r="30" spans="1:21" x14ac:dyDescent="0.2">
      <c r="A30" s="127">
        <v>25</v>
      </c>
      <c r="B30" s="108" t="s">
        <v>70</v>
      </c>
      <c r="C30" s="109">
        <v>41171</v>
      </c>
      <c r="D30" s="109">
        <v>42125</v>
      </c>
      <c r="E30" s="132">
        <f t="shared" si="0"/>
        <v>42308</v>
      </c>
      <c r="F30" s="111">
        <v>1150</v>
      </c>
      <c r="G30" s="111">
        <v>0</v>
      </c>
      <c r="H30" s="111">
        <v>155.72916666666669</v>
      </c>
      <c r="I30" s="112"/>
      <c r="J30" s="111">
        <v>108.8107638888889</v>
      </c>
      <c r="K30" s="113" t="s">
        <v>54</v>
      </c>
      <c r="L30" s="114" t="s">
        <v>90</v>
      </c>
      <c r="M30" s="136">
        <f t="shared" si="1"/>
        <v>6</v>
      </c>
      <c r="N30" s="136">
        <f t="shared" si="2"/>
        <v>0</v>
      </c>
      <c r="O30" s="115" t="s">
        <v>69</v>
      </c>
      <c r="P30" s="148">
        <f t="shared" si="6"/>
        <v>661.93214699074076</v>
      </c>
      <c r="Q30" s="148">
        <f t="shared" si="3"/>
        <v>330.97</v>
      </c>
      <c r="R30" s="148">
        <f t="shared" si="4"/>
        <v>1305.7291666666667</v>
      </c>
      <c r="S30" s="148">
        <f t="shared" si="5"/>
        <v>330.97</v>
      </c>
      <c r="T30" s="115">
        <v>137</v>
      </c>
      <c r="U30" s="115" t="s">
        <v>83</v>
      </c>
    </row>
    <row r="31" spans="1:21" x14ac:dyDescent="0.2">
      <c r="A31" s="127">
        <v>26</v>
      </c>
      <c r="B31" s="108" t="s">
        <v>70</v>
      </c>
      <c r="C31" s="109">
        <v>41171</v>
      </c>
      <c r="D31" s="109">
        <v>42125</v>
      </c>
      <c r="E31" s="132">
        <f t="shared" si="0"/>
        <v>42308</v>
      </c>
      <c r="F31" s="111">
        <v>950</v>
      </c>
      <c r="G31" s="111">
        <v>85</v>
      </c>
      <c r="H31" s="111">
        <v>128.64583333333334</v>
      </c>
      <c r="I31" s="112"/>
      <c r="J31" s="111">
        <v>89.887152777777771</v>
      </c>
      <c r="K31" s="113" t="s">
        <v>54</v>
      </c>
      <c r="L31" s="114" t="s">
        <v>90</v>
      </c>
      <c r="M31" s="136">
        <f t="shared" si="1"/>
        <v>6</v>
      </c>
      <c r="N31" s="136">
        <f t="shared" si="2"/>
        <v>0</v>
      </c>
      <c r="O31" s="115" t="s">
        <v>69</v>
      </c>
      <c r="P31" s="148">
        <f t="shared" si="6"/>
        <v>589.31351273148141</v>
      </c>
      <c r="Q31" s="148">
        <f t="shared" si="3"/>
        <v>294.66000000000003</v>
      </c>
      <c r="R31" s="148">
        <f t="shared" si="4"/>
        <v>1163.6458333333333</v>
      </c>
      <c r="S31" s="148">
        <f t="shared" si="5"/>
        <v>294.66000000000003</v>
      </c>
      <c r="T31" s="115">
        <v>138</v>
      </c>
      <c r="U31" s="115" t="s">
        <v>83</v>
      </c>
    </row>
    <row r="32" spans="1:21" x14ac:dyDescent="0.2">
      <c r="A32" s="127">
        <v>27</v>
      </c>
      <c r="B32" s="108" t="s">
        <v>70</v>
      </c>
      <c r="C32" s="109">
        <v>41220</v>
      </c>
      <c r="D32" s="109">
        <v>42125</v>
      </c>
      <c r="E32" s="132">
        <f t="shared" si="0"/>
        <v>42308</v>
      </c>
      <c r="F32" s="111">
        <v>1000</v>
      </c>
      <c r="G32" s="111">
        <v>0</v>
      </c>
      <c r="H32" s="111">
        <v>135.41666666666669</v>
      </c>
      <c r="I32" s="112"/>
      <c r="J32" s="111">
        <v>94.618055555555557</v>
      </c>
      <c r="K32" s="113" t="s">
        <v>54</v>
      </c>
      <c r="L32" s="114" t="s">
        <v>90</v>
      </c>
      <c r="M32" s="136">
        <f t="shared" si="1"/>
        <v>6</v>
      </c>
      <c r="N32" s="136">
        <f t="shared" si="2"/>
        <v>0</v>
      </c>
      <c r="O32" s="115" t="s">
        <v>69</v>
      </c>
      <c r="P32" s="148">
        <f t="shared" si="6"/>
        <v>575.5931712962963</v>
      </c>
      <c r="Q32" s="148">
        <f t="shared" si="3"/>
        <v>287.8</v>
      </c>
      <c r="R32" s="148">
        <f t="shared" si="4"/>
        <v>1135.4166666666667</v>
      </c>
      <c r="S32" s="148">
        <f t="shared" si="5"/>
        <v>287.8</v>
      </c>
      <c r="T32" s="115">
        <v>141</v>
      </c>
      <c r="U32" s="115" t="s">
        <v>83</v>
      </c>
    </row>
    <row r="33" spans="1:21" x14ac:dyDescent="0.2">
      <c r="A33" s="127">
        <v>28</v>
      </c>
      <c r="B33" s="108" t="s">
        <v>70</v>
      </c>
      <c r="C33" s="109">
        <v>41309</v>
      </c>
      <c r="D33" s="109">
        <v>42125</v>
      </c>
      <c r="E33" s="132">
        <f t="shared" si="0"/>
        <v>42308</v>
      </c>
      <c r="F33" s="111">
        <v>930</v>
      </c>
      <c r="G33" s="111">
        <v>0</v>
      </c>
      <c r="H33" s="111">
        <v>125.9375</v>
      </c>
      <c r="I33" s="112"/>
      <c r="J33" s="111">
        <v>87.994791666666671</v>
      </c>
      <c r="K33" s="113" t="s">
        <v>54</v>
      </c>
      <c r="L33" s="114" t="s">
        <v>90</v>
      </c>
      <c r="M33" s="136">
        <f t="shared" si="1"/>
        <v>6</v>
      </c>
      <c r="N33" s="136">
        <f t="shared" si="2"/>
        <v>0</v>
      </c>
      <c r="O33" s="115" t="s">
        <v>69</v>
      </c>
      <c r="P33" s="148">
        <f t="shared" si="6"/>
        <v>535.30164930555554</v>
      </c>
      <c r="Q33" s="148">
        <f t="shared" si="3"/>
        <v>267.64999999999998</v>
      </c>
      <c r="R33" s="148">
        <f t="shared" si="4"/>
        <v>1055.9375</v>
      </c>
      <c r="S33" s="148">
        <f t="shared" si="5"/>
        <v>267.64999999999998</v>
      </c>
      <c r="T33" s="115">
        <v>147</v>
      </c>
      <c r="U33" s="115" t="s">
        <v>83</v>
      </c>
    </row>
    <row r="34" spans="1:21" x14ac:dyDescent="0.2">
      <c r="A34" s="127">
        <v>29</v>
      </c>
      <c r="B34" s="108" t="s">
        <v>70</v>
      </c>
      <c r="C34" s="109">
        <v>41314</v>
      </c>
      <c r="D34" s="109">
        <v>42125</v>
      </c>
      <c r="E34" s="132">
        <f t="shared" si="0"/>
        <v>42308</v>
      </c>
      <c r="F34" s="111">
        <v>1200</v>
      </c>
      <c r="G34" s="111">
        <v>0</v>
      </c>
      <c r="H34" s="111">
        <v>162.5</v>
      </c>
      <c r="I34" s="112"/>
      <c r="J34" s="111">
        <v>113.54166666666667</v>
      </c>
      <c r="K34" s="113" t="s">
        <v>54</v>
      </c>
      <c r="L34" s="114" t="s">
        <v>90</v>
      </c>
      <c r="M34" s="136">
        <f t="shared" si="1"/>
        <v>6</v>
      </c>
      <c r="N34" s="136">
        <f t="shared" si="2"/>
        <v>0</v>
      </c>
      <c r="O34" s="115" t="s">
        <v>69</v>
      </c>
      <c r="P34" s="148">
        <f t="shared" si="6"/>
        <v>690.71180555555554</v>
      </c>
      <c r="Q34" s="148">
        <f t="shared" si="3"/>
        <v>345.36</v>
      </c>
      <c r="R34" s="148">
        <f t="shared" si="4"/>
        <v>1362.5</v>
      </c>
      <c r="S34" s="148">
        <f t="shared" si="5"/>
        <v>345.36</v>
      </c>
      <c r="T34" s="115">
        <v>149</v>
      </c>
      <c r="U34" s="115" t="s">
        <v>83</v>
      </c>
    </row>
    <row r="35" spans="1:21" x14ac:dyDescent="0.2">
      <c r="A35" s="127">
        <v>30</v>
      </c>
      <c r="B35" s="108" t="s">
        <v>70</v>
      </c>
      <c r="C35" s="109">
        <v>41350</v>
      </c>
      <c r="D35" s="109">
        <v>42125</v>
      </c>
      <c r="E35" s="132">
        <f t="shared" si="0"/>
        <v>42308</v>
      </c>
      <c r="F35" s="111">
        <v>850</v>
      </c>
      <c r="G35" s="111">
        <v>85</v>
      </c>
      <c r="H35" s="111">
        <v>115.10416666666666</v>
      </c>
      <c r="I35" s="112"/>
      <c r="J35" s="111">
        <v>80.425347222222214</v>
      </c>
      <c r="K35" s="113" t="s">
        <v>54</v>
      </c>
      <c r="L35" s="114" t="s">
        <v>90</v>
      </c>
      <c r="M35" s="136">
        <f t="shared" si="1"/>
        <v>6</v>
      </c>
      <c r="N35" s="136">
        <f t="shared" si="2"/>
        <v>0</v>
      </c>
      <c r="O35" s="115" t="s">
        <v>69</v>
      </c>
      <c r="P35" s="148">
        <f t="shared" si="6"/>
        <v>531.75419560185185</v>
      </c>
      <c r="Q35" s="148">
        <f t="shared" si="3"/>
        <v>265.88</v>
      </c>
      <c r="R35" s="148">
        <f t="shared" si="4"/>
        <v>1050.1041666666667</v>
      </c>
      <c r="S35" s="148">
        <f t="shared" si="5"/>
        <v>265.88</v>
      </c>
      <c r="T35" s="115">
        <v>150</v>
      </c>
      <c r="U35" s="115" t="s">
        <v>83</v>
      </c>
    </row>
    <row r="36" spans="1:21" x14ac:dyDescent="0.2">
      <c r="A36" s="127">
        <v>31</v>
      </c>
      <c r="B36" s="108" t="s">
        <v>70</v>
      </c>
      <c r="C36" s="109">
        <v>41365</v>
      </c>
      <c r="D36" s="109">
        <v>42125</v>
      </c>
      <c r="E36" s="132">
        <f t="shared" si="0"/>
        <v>42308</v>
      </c>
      <c r="F36" s="111">
        <v>1200</v>
      </c>
      <c r="G36" s="111">
        <v>0</v>
      </c>
      <c r="H36" s="111">
        <v>162.5</v>
      </c>
      <c r="I36" s="112"/>
      <c r="J36" s="111">
        <v>113.54166666666667</v>
      </c>
      <c r="K36" s="113" t="s">
        <v>54</v>
      </c>
      <c r="L36" s="114" t="s">
        <v>90</v>
      </c>
      <c r="M36" s="136">
        <f t="shared" si="1"/>
        <v>6</v>
      </c>
      <c r="N36" s="136">
        <f t="shared" si="2"/>
        <v>0</v>
      </c>
      <c r="O36" s="115" t="s">
        <v>69</v>
      </c>
      <c r="P36" s="148">
        <f t="shared" si="6"/>
        <v>690.71180555555554</v>
      </c>
      <c r="Q36" s="148">
        <f t="shared" si="3"/>
        <v>345.36</v>
      </c>
      <c r="R36" s="148">
        <f t="shared" si="4"/>
        <v>1362.5</v>
      </c>
      <c r="S36" s="148">
        <f t="shared" si="5"/>
        <v>345.36</v>
      </c>
      <c r="T36" s="115">
        <v>153</v>
      </c>
      <c r="U36" s="115" t="s">
        <v>83</v>
      </c>
    </row>
    <row r="37" spans="1:21" x14ac:dyDescent="0.2">
      <c r="A37" s="127">
        <v>32</v>
      </c>
      <c r="B37" s="108" t="s">
        <v>70</v>
      </c>
      <c r="C37" s="109">
        <v>41396</v>
      </c>
      <c r="D37" s="109">
        <v>42125</v>
      </c>
      <c r="E37" s="132">
        <f t="shared" si="0"/>
        <v>42308</v>
      </c>
      <c r="F37" s="111">
        <v>850</v>
      </c>
      <c r="G37" s="111">
        <v>0</v>
      </c>
      <c r="H37" s="111">
        <v>0</v>
      </c>
      <c r="I37" s="112"/>
      <c r="J37" s="111">
        <v>70.833333333333329</v>
      </c>
      <c r="K37" s="113" t="s">
        <v>54</v>
      </c>
      <c r="L37" s="114" t="s">
        <v>90</v>
      </c>
      <c r="M37" s="136">
        <f t="shared" si="1"/>
        <v>6</v>
      </c>
      <c r="N37" s="136">
        <f t="shared" si="2"/>
        <v>0</v>
      </c>
      <c r="O37" s="115" t="s">
        <v>69</v>
      </c>
      <c r="P37" s="148">
        <f t="shared" si="6"/>
        <v>430.90277777777777</v>
      </c>
      <c r="Q37" s="148">
        <f t="shared" si="3"/>
        <v>215.45</v>
      </c>
      <c r="R37" s="148">
        <f t="shared" si="4"/>
        <v>850</v>
      </c>
      <c r="S37" s="148">
        <f t="shared" si="5"/>
        <v>215.45</v>
      </c>
      <c r="T37" s="115">
        <v>157</v>
      </c>
      <c r="U37" s="115" t="s">
        <v>83</v>
      </c>
    </row>
    <row r="38" spans="1:21" x14ac:dyDescent="0.2">
      <c r="A38" s="127">
        <v>33</v>
      </c>
      <c r="B38" s="108" t="s">
        <v>70</v>
      </c>
      <c r="C38" s="109">
        <v>41396</v>
      </c>
      <c r="D38" s="109">
        <v>42125</v>
      </c>
      <c r="E38" s="132">
        <f t="shared" ref="E38:E63" si="7">+EOMONTH(D38,5)</f>
        <v>42308</v>
      </c>
      <c r="F38" s="111">
        <v>830</v>
      </c>
      <c r="G38" s="111">
        <v>0</v>
      </c>
      <c r="H38" s="111">
        <v>112.39583333333334</v>
      </c>
      <c r="I38" s="112"/>
      <c r="J38" s="111">
        <v>78.532986111111114</v>
      </c>
      <c r="K38" s="113" t="s">
        <v>54</v>
      </c>
      <c r="L38" s="114" t="s">
        <v>90</v>
      </c>
      <c r="M38" s="136">
        <f t="shared" ref="M38:M63" si="8">IF(C38&gt;D38,QUOTIENT(DAYS360(C38,E38),30),6)</f>
        <v>6</v>
      </c>
      <c r="N38" s="136">
        <f t="shared" ref="N38:N63" si="9">IF(C38&gt;D38,MOD(DAYS360(C38,E38),30),0)</f>
        <v>0</v>
      </c>
      <c r="O38" s="115" t="s">
        <v>69</v>
      </c>
      <c r="P38" s="148">
        <f t="shared" si="6"/>
        <v>477.74233217592592</v>
      </c>
      <c r="Q38" s="148">
        <f t="shared" ref="Q38:Q63" si="10">ROUND(((P38/12)*M38)+((P38/12/30)*N38),2)</f>
        <v>238.87</v>
      </c>
      <c r="R38" s="148">
        <f t="shared" si="4"/>
        <v>942.39583333333337</v>
      </c>
      <c r="S38" s="148">
        <f t="shared" ref="S38:S63" si="11">ROUND(Q38,2)</f>
        <v>238.87</v>
      </c>
      <c r="T38" s="115">
        <v>160</v>
      </c>
      <c r="U38" s="115" t="s">
        <v>83</v>
      </c>
    </row>
    <row r="39" spans="1:21" x14ac:dyDescent="0.2">
      <c r="A39" s="127">
        <v>34</v>
      </c>
      <c r="B39" s="108" t="s">
        <v>70</v>
      </c>
      <c r="C39" s="109">
        <v>41396</v>
      </c>
      <c r="D39" s="109">
        <v>42125</v>
      </c>
      <c r="E39" s="132">
        <f t="shared" si="7"/>
        <v>42308</v>
      </c>
      <c r="F39" s="111">
        <v>900</v>
      </c>
      <c r="G39" s="111">
        <v>0</v>
      </c>
      <c r="H39" s="111">
        <v>0</v>
      </c>
      <c r="I39" s="112"/>
      <c r="J39" s="111">
        <v>75</v>
      </c>
      <c r="K39" s="113" t="s">
        <v>54</v>
      </c>
      <c r="L39" s="114" t="s">
        <v>90</v>
      </c>
      <c r="M39" s="136">
        <f t="shared" si="8"/>
        <v>6</v>
      </c>
      <c r="N39" s="136">
        <f t="shared" si="9"/>
        <v>0</v>
      </c>
      <c r="O39" s="115" t="s">
        <v>69</v>
      </c>
      <c r="P39" s="148">
        <f t="shared" si="6"/>
        <v>456.25</v>
      </c>
      <c r="Q39" s="148">
        <f t="shared" si="10"/>
        <v>228.13</v>
      </c>
      <c r="R39" s="148">
        <f t="shared" si="4"/>
        <v>900</v>
      </c>
      <c r="S39" s="148">
        <f t="shared" si="11"/>
        <v>228.13</v>
      </c>
      <c r="T39" s="115">
        <v>161</v>
      </c>
      <c r="U39" s="115" t="s">
        <v>83</v>
      </c>
    </row>
    <row r="40" spans="1:21" x14ac:dyDescent="0.2">
      <c r="A40" s="127">
        <v>35</v>
      </c>
      <c r="B40" s="108" t="s">
        <v>70</v>
      </c>
      <c r="C40" s="109">
        <v>41403</v>
      </c>
      <c r="D40" s="109">
        <v>42125</v>
      </c>
      <c r="E40" s="132">
        <f t="shared" si="7"/>
        <v>42308</v>
      </c>
      <c r="F40" s="111">
        <v>920</v>
      </c>
      <c r="G40" s="111">
        <v>0</v>
      </c>
      <c r="H40" s="111">
        <v>124.58333333333334</v>
      </c>
      <c r="I40" s="112"/>
      <c r="J40" s="111">
        <v>87.0486111111111</v>
      </c>
      <c r="K40" s="113" t="s">
        <v>54</v>
      </c>
      <c r="L40" s="114" t="s">
        <v>90</v>
      </c>
      <c r="M40" s="136">
        <f t="shared" si="8"/>
        <v>6</v>
      </c>
      <c r="N40" s="136">
        <f t="shared" si="9"/>
        <v>0</v>
      </c>
      <c r="O40" s="115" t="s">
        <v>69</v>
      </c>
      <c r="P40" s="148">
        <f t="shared" si="6"/>
        <v>529.54571759259261</v>
      </c>
      <c r="Q40" s="148">
        <f t="shared" si="10"/>
        <v>264.77</v>
      </c>
      <c r="R40" s="148">
        <f t="shared" si="4"/>
        <v>1044.5833333333333</v>
      </c>
      <c r="S40" s="148">
        <f t="shared" si="11"/>
        <v>264.77</v>
      </c>
      <c r="T40" s="115">
        <v>162</v>
      </c>
      <c r="U40" s="115" t="s">
        <v>83</v>
      </c>
    </row>
    <row r="41" spans="1:21" x14ac:dyDescent="0.2">
      <c r="A41" s="127">
        <v>36</v>
      </c>
      <c r="B41" s="108" t="s">
        <v>70</v>
      </c>
      <c r="C41" s="109">
        <v>41429</v>
      </c>
      <c r="D41" s="109">
        <v>42125</v>
      </c>
      <c r="E41" s="132">
        <f t="shared" si="7"/>
        <v>42308</v>
      </c>
      <c r="F41" s="111">
        <v>930</v>
      </c>
      <c r="G41" s="111">
        <v>0</v>
      </c>
      <c r="H41" s="111">
        <v>125.9375</v>
      </c>
      <c r="I41" s="112"/>
      <c r="J41" s="111">
        <v>87.994791666666671</v>
      </c>
      <c r="K41" s="113" t="s">
        <v>54</v>
      </c>
      <c r="L41" s="114" t="s">
        <v>90</v>
      </c>
      <c r="M41" s="136">
        <f t="shared" si="8"/>
        <v>6</v>
      </c>
      <c r="N41" s="136">
        <f t="shared" si="9"/>
        <v>0</v>
      </c>
      <c r="O41" s="115" t="s">
        <v>69</v>
      </c>
      <c r="P41" s="148">
        <f t="shared" si="6"/>
        <v>535.30164930555554</v>
      </c>
      <c r="Q41" s="148">
        <f t="shared" si="10"/>
        <v>267.64999999999998</v>
      </c>
      <c r="R41" s="148">
        <f t="shared" si="4"/>
        <v>1055.9375</v>
      </c>
      <c r="S41" s="148">
        <f t="shared" si="11"/>
        <v>267.64999999999998</v>
      </c>
      <c r="T41" s="115">
        <v>163</v>
      </c>
      <c r="U41" s="115" t="s">
        <v>83</v>
      </c>
    </row>
    <row r="42" spans="1:21" x14ac:dyDescent="0.2">
      <c r="A42" s="127">
        <v>37</v>
      </c>
      <c r="B42" s="108" t="s">
        <v>70</v>
      </c>
      <c r="C42" s="109">
        <v>41760</v>
      </c>
      <c r="D42" s="109">
        <v>42125</v>
      </c>
      <c r="E42" s="132">
        <f t="shared" si="7"/>
        <v>42308</v>
      </c>
      <c r="F42" s="111">
        <v>800</v>
      </c>
      <c r="G42" s="111">
        <v>0</v>
      </c>
      <c r="H42" s="111">
        <v>108.33333333333334</v>
      </c>
      <c r="I42" s="112"/>
      <c r="J42" s="111">
        <v>75.694444444444443</v>
      </c>
      <c r="K42" s="113" t="s">
        <v>54</v>
      </c>
      <c r="L42" s="114" t="s">
        <v>90</v>
      </c>
      <c r="M42" s="136">
        <f t="shared" si="8"/>
        <v>6</v>
      </c>
      <c r="N42" s="136">
        <f t="shared" si="9"/>
        <v>0</v>
      </c>
      <c r="O42" s="115" t="s">
        <v>69</v>
      </c>
      <c r="P42" s="148">
        <f t="shared" si="6"/>
        <v>460.47453703703707</v>
      </c>
      <c r="Q42" s="148">
        <f t="shared" si="10"/>
        <v>230.24</v>
      </c>
      <c r="R42" s="148">
        <f t="shared" si="4"/>
        <v>908.33333333333337</v>
      </c>
      <c r="S42" s="148">
        <f t="shared" si="11"/>
        <v>230.24</v>
      </c>
      <c r="T42" s="115">
        <v>171</v>
      </c>
      <c r="U42" s="115" t="s">
        <v>83</v>
      </c>
    </row>
    <row r="43" spans="1:21" x14ac:dyDescent="0.2">
      <c r="A43" s="127">
        <v>38</v>
      </c>
      <c r="B43" s="108" t="s">
        <v>70</v>
      </c>
      <c r="C43" s="109">
        <v>41480</v>
      </c>
      <c r="D43" s="109">
        <v>42125</v>
      </c>
      <c r="E43" s="132">
        <f t="shared" si="7"/>
        <v>42308</v>
      </c>
      <c r="F43" s="111">
        <v>883</v>
      </c>
      <c r="G43" s="111">
        <v>0</v>
      </c>
      <c r="H43" s="111">
        <v>119.57291666666666</v>
      </c>
      <c r="I43" s="112"/>
      <c r="J43" s="111">
        <v>83.547743055555557</v>
      </c>
      <c r="K43" s="113" t="s">
        <v>54</v>
      </c>
      <c r="L43" s="114" t="s">
        <v>90</v>
      </c>
      <c r="M43" s="136">
        <f t="shared" si="8"/>
        <v>6</v>
      </c>
      <c r="N43" s="136">
        <f t="shared" si="9"/>
        <v>0</v>
      </c>
      <c r="O43" s="115" t="s">
        <v>69</v>
      </c>
      <c r="P43" s="148">
        <f t="shared" si="6"/>
        <v>508.24877025462962</v>
      </c>
      <c r="Q43" s="148">
        <f t="shared" si="10"/>
        <v>254.12</v>
      </c>
      <c r="R43" s="148">
        <f t="shared" si="4"/>
        <v>1002.5729166666666</v>
      </c>
      <c r="S43" s="148">
        <f t="shared" si="11"/>
        <v>254.12</v>
      </c>
      <c r="T43" s="115">
        <v>172</v>
      </c>
      <c r="U43" s="115" t="s">
        <v>83</v>
      </c>
    </row>
    <row r="44" spans="1:21" x14ac:dyDescent="0.2">
      <c r="A44" s="127">
        <v>39</v>
      </c>
      <c r="B44" s="108" t="s">
        <v>70</v>
      </c>
      <c r="C44" s="109">
        <v>41555</v>
      </c>
      <c r="D44" s="109">
        <v>42125</v>
      </c>
      <c r="E44" s="132">
        <f t="shared" si="7"/>
        <v>42308</v>
      </c>
      <c r="F44" s="111">
        <v>950</v>
      </c>
      <c r="G44" s="111">
        <v>0</v>
      </c>
      <c r="H44" s="111">
        <v>128.64583333333334</v>
      </c>
      <c r="I44" s="112"/>
      <c r="J44" s="111">
        <v>89.887152777777771</v>
      </c>
      <c r="K44" s="113" t="s">
        <v>54</v>
      </c>
      <c r="L44" s="114" t="s">
        <v>90</v>
      </c>
      <c r="M44" s="136">
        <f t="shared" si="8"/>
        <v>6</v>
      </c>
      <c r="N44" s="136">
        <f t="shared" si="9"/>
        <v>0</v>
      </c>
      <c r="O44" s="115" t="s">
        <v>69</v>
      </c>
      <c r="P44" s="148">
        <f t="shared" si="6"/>
        <v>546.81351273148141</v>
      </c>
      <c r="Q44" s="148">
        <f t="shared" si="10"/>
        <v>273.41000000000003</v>
      </c>
      <c r="R44" s="148">
        <f t="shared" si="4"/>
        <v>1078.6458333333333</v>
      </c>
      <c r="S44" s="148">
        <f t="shared" si="11"/>
        <v>273.41000000000003</v>
      </c>
      <c r="T44" s="115">
        <v>176</v>
      </c>
      <c r="U44" s="115" t="s">
        <v>83</v>
      </c>
    </row>
    <row r="45" spans="1:21" x14ac:dyDescent="0.2">
      <c r="A45" s="127">
        <v>40</v>
      </c>
      <c r="B45" s="108" t="s">
        <v>70</v>
      </c>
      <c r="C45" s="109">
        <v>41365</v>
      </c>
      <c r="D45" s="109">
        <v>42125</v>
      </c>
      <c r="E45" s="132">
        <f t="shared" si="7"/>
        <v>42308</v>
      </c>
      <c r="F45" s="111">
        <v>1200</v>
      </c>
      <c r="G45" s="111">
        <v>0</v>
      </c>
      <c r="H45" s="111">
        <v>162.5</v>
      </c>
      <c r="I45" s="112"/>
      <c r="J45" s="111">
        <v>113.54166666666667</v>
      </c>
      <c r="K45" s="113" t="s">
        <v>54</v>
      </c>
      <c r="L45" s="114" t="s">
        <v>90</v>
      </c>
      <c r="M45" s="136">
        <f t="shared" si="8"/>
        <v>6</v>
      </c>
      <c r="N45" s="136">
        <f t="shared" si="9"/>
        <v>0</v>
      </c>
      <c r="O45" s="115" t="s">
        <v>69</v>
      </c>
      <c r="P45" s="148">
        <f t="shared" si="6"/>
        <v>690.71180555555554</v>
      </c>
      <c r="Q45" s="148">
        <f t="shared" si="10"/>
        <v>345.36</v>
      </c>
      <c r="R45" s="148">
        <f t="shared" si="4"/>
        <v>1362.5</v>
      </c>
      <c r="S45" s="148">
        <f t="shared" si="11"/>
        <v>345.36</v>
      </c>
      <c r="T45" s="115">
        <v>178</v>
      </c>
      <c r="U45" s="115" t="s">
        <v>83</v>
      </c>
    </row>
    <row r="46" spans="1:21" x14ac:dyDescent="0.2">
      <c r="A46" s="127">
        <v>41</v>
      </c>
      <c r="B46" s="108" t="s">
        <v>70</v>
      </c>
      <c r="C46" s="109">
        <v>41579</v>
      </c>
      <c r="D46" s="109">
        <v>42125</v>
      </c>
      <c r="E46" s="132">
        <f t="shared" si="7"/>
        <v>42308</v>
      </c>
      <c r="F46" s="111">
        <v>850</v>
      </c>
      <c r="G46" s="111">
        <v>0</v>
      </c>
      <c r="H46" s="111">
        <v>115.10416666666666</v>
      </c>
      <c r="I46" s="112"/>
      <c r="J46" s="111">
        <v>80.425347222222214</v>
      </c>
      <c r="K46" s="113" t="s">
        <v>54</v>
      </c>
      <c r="L46" s="114" t="s">
        <v>90</v>
      </c>
      <c r="M46" s="136">
        <f t="shared" si="8"/>
        <v>6</v>
      </c>
      <c r="N46" s="136">
        <f t="shared" si="9"/>
        <v>0</v>
      </c>
      <c r="O46" s="115" t="s">
        <v>69</v>
      </c>
      <c r="P46" s="148">
        <f t="shared" si="6"/>
        <v>489.25419560185185</v>
      </c>
      <c r="Q46" s="148">
        <f t="shared" si="10"/>
        <v>244.63</v>
      </c>
      <c r="R46" s="148">
        <f t="shared" si="4"/>
        <v>965.10416666666663</v>
      </c>
      <c r="S46" s="148">
        <f t="shared" si="11"/>
        <v>244.63</v>
      </c>
      <c r="T46" s="115">
        <v>179</v>
      </c>
      <c r="U46" s="115" t="s">
        <v>83</v>
      </c>
    </row>
    <row r="47" spans="1:21" x14ac:dyDescent="0.2">
      <c r="A47" s="127">
        <v>42</v>
      </c>
      <c r="B47" s="108" t="s">
        <v>70</v>
      </c>
      <c r="C47" s="109">
        <v>42281</v>
      </c>
      <c r="D47" s="109">
        <v>42125</v>
      </c>
      <c r="E47" s="132">
        <f t="shared" si="7"/>
        <v>42308</v>
      </c>
      <c r="F47" s="111">
        <v>850</v>
      </c>
      <c r="G47" s="111">
        <v>0</v>
      </c>
      <c r="H47" s="111">
        <v>115.10416666666666</v>
      </c>
      <c r="I47" s="112"/>
      <c r="J47" s="111">
        <v>12.063802083333334</v>
      </c>
      <c r="K47" s="113" t="s">
        <v>54</v>
      </c>
      <c r="L47" s="114" t="s">
        <v>90</v>
      </c>
      <c r="M47" s="136">
        <f t="shared" si="8"/>
        <v>0</v>
      </c>
      <c r="N47" s="136">
        <f t="shared" si="9"/>
        <v>27</v>
      </c>
      <c r="O47" s="115" t="s">
        <v>69</v>
      </c>
      <c r="P47" s="148">
        <f t="shared" si="6"/>
        <v>483.55740017361109</v>
      </c>
      <c r="Q47" s="148">
        <f t="shared" si="10"/>
        <v>36.270000000000003</v>
      </c>
      <c r="R47" s="148">
        <f t="shared" si="4"/>
        <v>965.10416666666663</v>
      </c>
      <c r="S47" s="148">
        <f t="shared" si="11"/>
        <v>36.270000000000003</v>
      </c>
      <c r="T47" s="115">
        <v>180</v>
      </c>
      <c r="U47" s="115" t="s">
        <v>83</v>
      </c>
    </row>
    <row r="48" spans="1:21" x14ac:dyDescent="0.2">
      <c r="A48" s="127">
        <v>44</v>
      </c>
      <c r="B48" s="108" t="s">
        <v>70</v>
      </c>
      <c r="C48" s="109">
        <v>41579</v>
      </c>
      <c r="D48" s="109">
        <v>42125</v>
      </c>
      <c r="E48" s="132">
        <f t="shared" si="7"/>
        <v>42308</v>
      </c>
      <c r="F48" s="111">
        <v>850</v>
      </c>
      <c r="G48" s="111">
        <v>0</v>
      </c>
      <c r="H48" s="111">
        <v>115.10416666666666</v>
      </c>
      <c r="I48" s="112"/>
      <c r="J48" s="111">
        <v>80.425347222222214</v>
      </c>
      <c r="K48" s="113" t="s">
        <v>54</v>
      </c>
      <c r="L48" s="114" t="s">
        <v>90</v>
      </c>
      <c r="M48" s="136">
        <f t="shared" si="8"/>
        <v>6</v>
      </c>
      <c r="N48" s="136">
        <f t="shared" si="9"/>
        <v>0</v>
      </c>
      <c r="O48" s="115" t="s">
        <v>69</v>
      </c>
      <c r="P48" s="148">
        <f t="shared" si="6"/>
        <v>489.25419560185185</v>
      </c>
      <c r="Q48" s="148">
        <f t="shared" si="10"/>
        <v>244.63</v>
      </c>
      <c r="R48" s="148">
        <f t="shared" si="4"/>
        <v>965.10416666666663</v>
      </c>
      <c r="S48" s="148">
        <f t="shared" si="11"/>
        <v>244.63</v>
      </c>
      <c r="T48" s="115">
        <v>191</v>
      </c>
      <c r="U48" s="115" t="s">
        <v>83</v>
      </c>
    </row>
    <row r="49" spans="1:21" x14ac:dyDescent="0.2">
      <c r="A49" s="127">
        <v>45</v>
      </c>
      <c r="B49" s="108" t="s">
        <v>70</v>
      </c>
      <c r="C49" s="109">
        <v>41579</v>
      </c>
      <c r="D49" s="109">
        <v>42125</v>
      </c>
      <c r="E49" s="132">
        <f t="shared" si="7"/>
        <v>42308</v>
      </c>
      <c r="F49" s="111">
        <v>1000</v>
      </c>
      <c r="G49" s="111">
        <v>0</v>
      </c>
      <c r="H49" s="111">
        <v>135.41666666666669</v>
      </c>
      <c r="I49" s="112"/>
      <c r="J49" s="111">
        <v>94.618055555555557</v>
      </c>
      <c r="K49" s="113" t="s">
        <v>54</v>
      </c>
      <c r="L49" s="114" t="s">
        <v>90</v>
      </c>
      <c r="M49" s="136">
        <f t="shared" si="8"/>
        <v>6</v>
      </c>
      <c r="N49" s="136">
        <f t="shared" si="9"/>
        <v>0</v>
      </c>
      <c r="O49" s="115" t="s">
        <v>69</v>
      </c>
      <c r="P49" s="148">
        <f t="shared" si="6"/>
        <v>575.5931712962963</v>
      </c>
      <c r="Q49" s="148">
        <f t="shared" si="10"/>
        <v>287.8</v>
      </c>
      <c r="R49" s="148">
        <f t="shared" si="4"/>
        <v>1135.4166666666667</v>
      </c>
      <c r="S49" s="148">
        <f t="shared" si="11"/>
        <v>287.8</v>
      </c>
      <c r="T49" s="115">
        <v>196</v>
      </c>
      <c r="U49" s="115" t="s">
        <v>83</v>
      </c>
    </row>
    <row r="50" spans="1:21" x14ac:dyDescent="0.2">
      <c r="A50" s="127">
        <v>46</v>
      </c>
      <c r="B50" s="108" t="s">
        <v>70</v>
      </c>
      <c r="C50" s="109">
        <v>41913</v>
      </c>
      <c r="D50" s="109">
        <v>42125</v>
      </c>
      <c r="E50" s="132">
        <f t="shared" si="7"/>
        <v>42308</v>
      </c>
      <c r="F50" s="111">
        <v>1150</v>
      </c>
      <c r="G50" s="111">
        <v>0</v>
      </c>
      <c r="H50" s="111">
        <v>155.72916666666669</v>
      </c>
      <c r="I50" s="112"/>
      <c r="J50" s="111">
        <v>108.8107638888889</v>
      </c>
      <c r="K50" s="113" t="s">
        <v>54</v>
      </c>
      <c r="L50" s="114" t="s">
        <v>90</v>
      </c>
      <c r="M50" s="136">
        <f t="shared" si="8"/>
        <v>6</v>
      </c>
      <c r="N50" s="136">
        <f t="shared" si="9"/>
        <v>0</v>
      </c>
      <c r="O50" s="115" t="s">
        <v>69</v>
      </c>
      <c r="P50" s="148">
        <f t="shared" si="6"/>
        <v>661.93214699074076</v>
      </c>
      <c r="Q50" s="148">
        <f t="shared" si="10"/>
        <v>330.97</v>
      </c>
      <c r="R50" s="148">
        <f t="shared" si="4"/>
        <v>1305.7291666666667</v>
      </c>
      <c r="S50" s="148">
        <f t="shared" si="11"/>
        <v>330.97</v>
      </c>
      <c r="T50" s="115">
        <v>199</v>
      </c>
      <c r="U50" s="115" t="s">
        <v>83</v>
      </c>
    </row>
    <row r="51" spans="1:21" x14ac:dyDescent="0.2">
      <c r="A51" s="127">
        <v>47</v>
      </c>
      <c r="B51" s="108" t="s">
        <v>70</v>
      </c>
      <c r="C51" s="109">
        <v>42248</v>
      </c>
      <c r="D51" s="109">
        <v>42125</v>
      </c>
      <c r="E51" s="132">
        <f t="shared" si="7"/>
        <v>42308</v>
      </c>
      <c r="F51" s="111">
        <v>1200</v>
      </c>
      <c r="G51" s="111">
        <v>0</v>
      </c>
      <c r="H51" s="111">
        <v>162.5</v>
      </c>
      <c r="I51" s="112"/>
      <c r="J51" s="111">
        <v>37.847222222222221</v>
      </c>
      <c r="K51" s="113" t="s">
        <v>54</v>
      </c>
      <c r="L51" s="114" t="s">
        <v>90</v>
      </c>
      <c r="M51" s="136">
        <f t="shared" si="8"/>
        <v>2</v>
      </c>
      <c r="N51" s="136">
        <f t="shared" si="9"/>
        <v>0</v>
      </c>
      <c r="O51" s="115" t="s">
        <v>69</v>
      </c>
      <c r="P51" s="148">
        <f t="shared" si="6"/>
        <v>684.40393518518522</v>
      </c>
      <c r="Q51" s="148">
        <f t="shared" si="10"/>
        <v>114.07</v>
      </c>
      <c r="R51" s="148">
        <f t="shared" si="4"/>
        <v>1362.5</v>
      </c>
      <c r="S51" s="148">
        <f t="shared" si="11"/>
        <v>114.07</v>
      </c>
      <c r="T51" s="115">
        <v>200</v>
      </c>
      <c r="U51" s="115" t="s">
        <v>83</v>
      </c>
    </row>
    <row r="52" spans="1:21" x14ac:dyDescent="0.2">
      <c r="A52" s="127">
        <v>48</v>
      </c>
      <c r="B52" s="108" t="s">
        <v>70</v>
      </c>
      <c r="C52" s="109">
        <v>41656</v>
      </c>
      <c r="D52" s="109">
        <v>42125</v>
      </c>
      <c r="E52" s="132">
        <f t="shared" si="7"/>
        <v>42308</v>
      </c>
      <c r="F52" s="111">
        <v>1000</v>
      </c>
      <c r="G52" s="111">
        <v>0</v>
      </c>
      <c r="H52" s="111">
        <v>135.41666666666669</v>
      </c>
      <c r="I52" s="112"/>
      <c r="J52" s="111">
        <v>94.618055555555557</v>
      </c>
      <c r="K52" s="113" t="s">
        <v>54</v>
      </c>
      <c r="L52" s="114" t="s">
        <v>90</v>
      </c>
      <c r="M52" s="136">
        <f t="shared" si="8"/>
        <v>6</v>
      </c>
      <c r="N52" s="136">
        <f t="shared" si="9"/>
        <v>0</v>
      </c>
      <c r="O52" s="115" t="s">
        <v>69</v>
      </c>
      <c r="P52" s="148">
        <f t="shared" si="6"/>
        <v>575.5931712962963</v>
      </c>
      <c r="Q52" s="148">
        <f t="shared" si="10"/>
        <v>287.8</v>
      </c>
      <c r="R52" s="148">
        <f t="shared" si="4"/>
        <v>1135.4166666666667</v>
      </c>
      <c r="S52" s="148">
        <f t="shared" si="11"/>
        <v>287.8</v>
      </c>
      <c r="T52" s="115">
        <v>206</v>
      </c>
      <c r="U52" s="115" t="s">
        <v>83</v>
      </c>
    </row>
    <row r="53" spans="1:21" x14ac:dyDescent="0.2">
      <c r="A53" s="127">
        <v>49</v>
      </c>
      <c r="B53" s="108" t="s">
        <v>70</v>
      </c>
      <c r="C53" s="109">
        <v>41671</v>
      </c>
      <c r="D53" s="109">
        <v>42125</v>
      </c>
      <c r="E53" s="132">
        <f t="shared" si="7"/>
        <v>42308</v>
      </c>
      <c r="F53" s="111">
        <v>850</v>
      </c>
      <c r="G53" s="111">
        <v>0</v>
      </c>
      <c r="H53" s="111">
        <v>115.10416666666666</v>
      </c>
      <c r="I53" s="112"/>
      <c r="J53" s="111">
        <v>80.425347222222214</v>
      </c>
      <c r="K53" s="113" t="s">
        <v>54</v>
      </c>
      <c r="L53" s="114" t="s">
        <v>90</v>
      </c>
      <c r="M53" s="136">
        <f t="shared" si="8"/>
        <v>6</v>
      </c>
      <c r="N53" s="136">
        <f t="shared" si="9"/>
        <v>0</v>
      </c>
      <c r="O53" s="115" t="s">
        <v>69</v>
      </c>
      <c r="P53" s="148">
        <f t="shared" si="6"/>
        <v>489.25419560185185</v>
      </c>
      <c r="Q53" s="148">
        <f t="shared" si="10"/>
        <v>244.63</v>
      </c>
      <c r="R53" s="148">
        <f t="shared" si="4"/>
        <v>965.10416666666663</v>
      </c>
      <c r="S53" s="148">
        <f t="shared" si="11"/>
        <v>244.63</v>
      </c>
      <c r="T53" s="115">
        <v>210</v>
      </c>
      <c r="U53" s="115" t="s">
        <v>83</v>
      </c>
    </row>
    <row r="54" spans="1:21" x14ac:dyDescent="0.2">
      <c r="A54" s="127">
        <v>50</v>
      </c>
      <c r="B54" s="108" t="s">
        <v>70</v>
      </c>
      <c r="C54" s="109">
        <v>41671</v>
      </c>
      <c r="D54" s="109">
        <v>42125</v>
      </c>
      <c r="E54" s="132">
        <f t="shared" si="7"/>
        <v>42308</v>
      </c>
      <c r="F54" s="111">
        <v>950</v>
      </c>
      <c r="G54" s="111">
        <v>0</v>
      </c>
      <c r="H54" s="111">
        <v>128.64583333333334</v>
      </c>
      <c r="I54" s="112"/>
      <c r="J54" s="111">
        <v>89.887152777777771</v>
      </c>
      <c r="K54" s="113" t="s">
        <v>54</v>
      </c>
      <c r="L54" s="114" t="s">
        <v>90</v>
      </c>
      <c r="M54" s="136">
        <f t="shared" si="8"/>
        <v>6</v>
      </c>
      <c r="N54" s="136">
        <f t="shared" si="9"/>
        <v>0</v>
      </c>
      <c r="O54" s="115" t="s">
        <v>69</v>
      </c>
      <c r="P54" s="148">
        <f t="shared" si="6"/>
        <v>546.81351273148141</v>
      </c>
      <c r="Q54" s="148">
        <f t="shared" si="10"/>
        <v>273.41000000000003</v>
      </c>
      <c r="R54" s="148">
        <f t="shared" si="4"/>
        <v>1078.6458333333333</v>
      </c>
      <c r="S54" s="148">
        <f t="shared" si="11"/>
        <v>273.41000000000003</v>
      </c>
      <c r="T54" s="115">
        <v>211</v>
      </c>
      <c r="U54" s="115" t="s">
        <v>83</v>
      </c>
    </row>
    <row r="55" spans="1:21" x14ac:dyDescent="0.2">
      <c r="A55" s="127">
        <v>51</v>
      </c>
      <c r="B55" s="108" t="s">
        <v>70</v>
      </c>
      <c r="C55" s="109">
        <v>41671</v>
      </c>
      <c r="D55" s="109">
        <v>42125</v>
      </c>
      <c r="E55" s="132">
        <f t="shared" si="7"/>
        <v>42308</v>
      </c>
      <c r="F55" s="111">
        <v>850</v>
      </c>
      <c r="G55" s="111">
        <v>0</v>
      </c>
      <c r="H55" s="111">
        <v>115.10416666666666</v>
      </c>
      <c r="I55" s="112"/>
      <c r="J55" s="111">
        <v>80.425347222222214</v>
      </c>
      <c r="K55" s="113" t="s">
        <v>54</v>
      </c>
      <c r="L55" s="114" t="s">
        <v>90</v>
      </c>
      <c r="M55" s="136">
        <f t="shared" si="8"/>
        <v>6</v>
      </c>
      <c r="N55" s="136">
        <f t="shared" si="9"/>
        <v>0</v>
      </c>
      <c r="O55" s="115" t="s">
        <v>69</v>
      </c>
      <c r="P55" s="148">
        <f t="shared" si="6"/>
        <v>489.25419560185185</v>
      </c>
      <c r="Q55" s="148">
        <f t="shared" si="10"/>
        <v>244.63</v>
      </c>
      <c r="R55" s="148">
        <f t="shared" si="4"/>
        <v>965.10416666666663</v>
      </c>
      <c r="S55" s="148">
        <f t="shared" si="11"/>
        <v>244.63</v>
      </c>
      <c r="T55" s="115">
        <v>214</v>
      </c>
      <c r="U55" s="115" t="s">
        <v>83</v>
      </c>
    </row>
    <row r="56" spans="1:21" x14ac:dyDescent="0.2">
      <c r="A56" s="127">
        <v>52</v>
      </c>
      <c r="B56" s="108" t="s">
        <v>70</v>
      </c>
      <c r="C56" s="109">
        <v>41699</v>
      </c>
      <c r="D56" s="109">
        <v>42125</v>
      </c>
      <c r="E56" s="132">
        <f t="shared" si="7"/>
        <v>42308</v>
      </c>
      <c r="F56" s="111">
        <v>800</v>
      </c>
      <c r="G56" s="111">
        <v>0</v>
      </c>
      <c r="H56" s="111">
        <v>108.33333333333334</v>
      </c>
      <c r="I56" s="112"/>
      <c r="J56" s="111">
        <v>75.694444444444443</v>
      </c>
      <c r="K56" s="113" t="s">
        <v>54</v>
      </c>
      <c r="L56" s="114" t="s">
        <v>90</v>
      </c>
      <c r="M56" s="136">
        <f t="shared" si="8"/>
        <v>6</v>
      </c>
      <c r="N56" s="136">
        <f t="shared" si="9"/>
        <v>0</v>
      </c>
      <c r="O56" s="115" t="s">
        <v>69</v>
      </c>
      <c r="P56" s="148">
        <f t="shared" si="6"/>
        <v>460.47453703703707</v>
      </c>
      <c r="Q56" s="148">
        <f t="shared" si="10"/>
        <v>230.24</v>
      </c>
      <c r="R56" s="148">
        <f t="shared" si="4"/>
        <v>908.33333333333337</v>
      </c>
      <c r="S56" s="148">
        <f t="shared" si="11"/>
        <v>230.24</v>
      </c>
      <c r="T56" s="115">
        <v>215</v>
      </c>
      <c r="U56" s="115" t="s">
        <v>83</v>
      </c>
    </row>
    <row r="57" spans="1:21" x14ac:dyDescent="0.2">
      <c r="A57" s="127">
        <v>53</v>
      </c>
      <c r="B57" s="108" t="s">
        <v>70</v>
      </c>
      <c r="C57" s="109">
        <v>41699</v>
      </c>
      <c r="D57" s="109">
        <v>42125</v>
      </c>
      <c r="E57" s="132">
        <f t="shared" si="7"/>
        <v>42308</v>
      </c>
      <c r="F57" s="111">
        <v>880</v>
      </c>
      <c r="G57" s="111">
        <v>0</v>
      </c>
      <c r="H57" s="111">
        <v>119.16666666666666</v>
      </c>
      <c r="I57" s="112"/>
      <c r="J57" s="111">
        <v>83.263888888888886</v>
      </c>
      <c r="K57" s="113" t="s">
        <v>54</v>
      </c>
      <c r="L57" s="114" t="s">
        <v>90</v>
      </c>
      <c r="M57" s="136">
        <f t="shared" si="8"/>
        <v>6</v>
      </c>
      <c r="N57" s="136">
        <f t="shared" si="9"/>
        <v>0</v>
      </c>
      <c r="O57" s="115" t="s">
        <v>69</v>
      </c>
      <c r="P57" s="148">
        <f t="shared" si="6"/>
        <v>506.5219907407407</v>
      </c>
      <c r="Q57" s="148">
        <f t="shared" si="10"/>
        <v>253.26</v>
      </c>
      <c r="R57" s="148">
        <f t="shared" si="4"/>
        <v>999.16666666666663</v>
      </c>
      <c r="S57" s="148">
        <f t="shared" si="11"/>
        <v>253.26</v>
      </c>
      <c r="T57" s="115">
        <v>217</v>
      </c>
      <c r="U57" s="115" t="s">
        <v>83</v>
      </c>
    </row>
    <row r="58" spans="1:21" x14ac:dyDescent="0.2">
      <c r="A58" s="127">
        <v>54</v>
      </c>
      <c r="B58" s="108" t="s">
        <v>70</v>
      </c>
      <c r="C58" s="109">
        <v>41714</v>
      </c>
      <c r="D58" s="109">
        <v>42125</v>
      </c>
      <c r="E58" s="132">
        <f t="shared" si="7"/>
        <v>42308</v>
      </c>
      <c r="F58" s="111">
        <v>800</v>
      </c>
      <c r="G58" s="111">
        <v>0</v>
      </c>
      <c r="H58" s="111">
        <v>108.33333333333334</v>
      </c>
      <c r="I58" s="112"/>
      <c r="J58" s="111">
        <v>75.694444444444443</v>
      </c>
      <c r="K58" s="113" t="s">
        <v>54</v>
      </c>
      <c r="L58" s="114" t="s">
        <v>90</v>
      </c>
      <c r="M58" s="136">
        <f t="shared" si="8"/>
        <v>6</v>
      </c>
      <c r="N58" s="136">
        <f t="shared" si="9"/>
        <v>0</v>
      </c>
      <c r="O58" s="115" t="s">
        <v>69</v>
      </c>
      <c r="P58" s="148">
        <f t="shared" si="6"/>
        <v>460.47453703703707</v>
      </c>
      <c r="Q58" s="148">
        <f t="shared" si="10"/>
        <v>230.24</v>
      </c>
      <c r="R58" s="148">
        <f t="shared" si="4"/>
        <v>908.33333333333337</v>
      </c>
      <c r="S58" s="148">
        <f t="shared" si="11"/>
        <v>230.24</v>
      </c>
      <c r="T58" s="115">
        <v>221</v>
      </c>
      <c r="U58" s="115" t="s">
        <v>83</v>
      </c>
    </row>
    <row r="59" spans="1:21" x14ac:dyDescent="0.2">
      <c r="A59" s="127">
        <v>55</v>
      </c>
      <c r="B59" s="108" t="s">
        <v>70</v>
      </c>
      <c r="C59" s="109">
        <v>41714</v>
      </c>
      <c r="D59" s="109">
        <v>42125</v>
      </c>
      <c r="E59" s="132">
        <f t="shared" si="7"/>
        <v>42308</v>
      </c>
      <c r="F59" s="111">
        <v>800</v>
      </c>
      <c r="G59" s="111">
        <v>0</v>
      </c>
      <c r="H59" s="111">
        <v>108.33333333333334</v>
      </c>
      <c r="I59" s="112"/>
      <c r="J59" s="111">
        <v>75.694444444444443</v>
      </c>
      <c r="K59" s="113" t="s">
        <v>54</v>
      </c>
      <c r="L59" s="114" t="s">
        <v>90</v>
      </c>
      <c r="M59" s="136">
        <f t="shared" si="8"/>
        <v>6</v>
      </c>
      <c r="N59" s="136">
        <f t="shared" si="9"/>
        <v>0</v>
      </c>
      <c r="O59" s="115" t="s">
        <v>69</v>
      </c>
      <c r="P59" s="148">
        <f t="shared" si="6"/>
        <v>460.47453703703707</v>
      </c>
      <c r="Q59" s="148">
        <f t="shared" si="10"/>
        <v>230.24</v>
      </c>
      <c r="R59" s="148">
        <f t="shared" si="4"/>
        <v>908.33333333333337</v>
      </c>
      <c r="S59" s="148">
        <f t="shared" si="11"/>
        <v>230.24</v>
      </c>
      <c r="T59" s="115">
        <v>222</v>
      </c>
      <c r="U59" s="115" t="s">
        <v>83</v>
      </c>
    </row>
    <row r="60" spans="1:21" x14ac:dyDescent="0.2">
      <c r="A60" s="127">
        <v>57</v>
      </c>
      <c r="B60" s="108" t="s">
        <v>70</v>
      </c>
      <c r="C60" s="109">
        <v>41714</v>
      </c>
      <c r="D60" s="109">
        <v>42125</v>
      </c>
      <c r="E60" s="132">
        <f t="shared" si="7"/>
        <v>42308</v>
      </c>
      <c r="F60" s="111">
        <v>900</v>
      </c>
      <c r="G60" s="111">
        <v>0</v>
      </c>
      <c r="H60" s="111">
        <v>121.875</v>
      </c>
      <c r="I60" s="112"/>
      <c r="J60" s="111">
        <v>85.15625</v>
      </c>
      <c r="K60" s="113" t="s">
        <v>54</v>
      </c>
      <c r="L60" s="114" t="s">
        <v>90</v>
      </c>
      <c r="M60" s="136">
        <f t="shared" si="8"/>
        <v>6</v>
      </c>
      <c r="N60" s="136">
        <f t="shared" si="9"/>
        <v>0</v>
      </c>
      <c r="O60" s="115" t="s">
        <v>69</v>
      </c>
      <c r="P60" s="148">
        <f t="shared" si="6"/>
        <v>518.03385416666663</v>
      </c>
      <c r="Q60" s="148">
        <f t="shared" si="10"/>
        <v>259.02</v>
      </c>
      <c r="R60" s="148">
        <f t="shared" si="4"/>
        <v>1021.875</v>
      </c>
      <c r="S60" s="148">
        <f t="shared" si="11"/>
        <v>259.02</v>
      </c>
      <c r="T60" s="115">
        <v>225</v>
      </c>
      <c r="U60" s="115" t="s">
        <v>83</v>
      </c>
    </row>
    <row r="61" spans="1:21" x14ac:dyDescent="0.2">
      <c r="A61" s="127">
        <v>58</v>
      </c>
      <c r="B61" s="108" t="s">
        <v>70</v>
      </c>
      <c r="C61" s="109">
        <v>41730</v>
      </c>
      <c r="D61" s="109">
        <v>42125</v>
      </c>
      <c r="E61" s="132">
        <f t="shared" si="7"/>
        <v>42308</v>
      </c>
      <c r="F61" s="111">
        <v>800</v>
      </c>
      <c r="G61" s="111">
        <v>0</v>
      </c>
      <c r="H61" s="111">
        <v>108.33333333333334</v>
      </c>
      <c r="I61" s="112"/>
      <c r="J61" s="111">
        <v>75.694444444444443</v>
      </c>
      <c r="K61" s="113" t="s">
        <v>54</v>
      </c>
      <c r="L61" s="114" t="s">
        <v>90</v>
      </c>
      <c r="M61" s="136">
        <f t="shared" si="8"/>
        <v>6</v>
      </c>
      <c r="N61" s="136">
        <f t="shared" si="9"/>
        <v>0</v>
      </c>
      <c r="O61" s="115" t="s">
        <v>69</v>
      </c>
      <c r="P61" s="148">
        <f t="shared" si="6"/>
        <v>460.47453703703707</v>
      </c>
      <c r="Q61" s="148">
        <f t="shared" si="10"/>
        <v>230.24</v>
      </c>
      <c r="R61" s="148">
        <f t="shared" si="4"/>
        <v>908.33333333333337</v>
      </c>
      <c r="S61" s="148">
        <f t="shared" si="11"/>
        <v>230.24</v>
      </c>
      <c r="T61" s="115">
        <v>226</v>
      </c>
      <c r="U61" s="115" t="s">
        <v>83</v>
      </c>
    </row>
    <row r="62" spans="1:21" x14ac:dyDescent="0.2">
      <c r="A62" s="127">
        <v>59</v>
      </c>
      <c r="B62" s="108" t="s">
        <v>70</v>
      </c>
      <c r="C62" s="109">
        <v>41730</v>
      </c>
      <c r="D62" s="109">
        <v>42125</v>
      </c>
      <c r="E62" s="132">
        <f t="shared" si="7"/>
        <v>42308</v>
      </c>
      <c r="F62" s="111">
        <v>800</v>
      </c>
      <c r="G62" s="111">
        <v>0</v>
      </c>
      <c r="H62" s="111">
        <v>108.33333333333334</v>
      </c>
      <c r="I62" s="112"/>
      <c r="J62" s="111">
        <v>75.694444444444443</v>
      </c>
      <c r="K62" s="113" t="s">
        <v>54</v>
      </c>
      <c r="L62" s="114" t="s">
        <v>90</v>
      </c>
      <c r="M62" s="136">
        <f t="shared" si="8"/>
        <v>6</v>
      </c>
      <c r="N62" s="136">
        <f t="shared" si="9"/>
        <v>0</v>
      </c>
      <c r="O62" s="115" t="s">
        <v>69</v>
      </c>
      <c r="P62" s="148">
        <f t="shared" si="6"/>
        <v>460.47453703703707</v>
      </c>
      <c r="Q62" s="148">
        <f t="shared" si="10"/>
        <v>230.24</v>
      </c>
      <c r="R62" s="148">
        <f t="shared" si="4"/>
        <v>908.33333333333337</v>
      </c>
      <c r="S62" s="148">
        <f t="shared" si="11"/>
        <v>230.24</v>
      </c>
      <c r="T62" s="115">
        <v>227</v>
      </c>
      <c r="U62" s="115" t="s">
        <v>83</v>
      </c>
    </row>
    <row r="63" spans="1:21" x14ac:dyDescent="0.2">
      <c r="A63" s="127">
        <v>60</v>
      </c>
      <c r="B63" s="108" t="s">
        <v>70</v>
      </c>
      <c r="C63" s="109">
        <v>42036</v>
      </c>
      <c r="D63" s="109">
        <v>42125</v>
      </c>
      <c r="E63" s="132">
        <f t="shared" si="7"/>
        <v>42308</v>
      </c>
      <c r="F63" s="111">
        <v>750</v>
      </c>
      <c r="G63" s="111">
        <v>0</v>
      </c>
      <c r="H63" s="111">
        <v>101.5625</v>
      </c>
      <c r="I63" s="112"/>
      <c r="J63" s="111">
        <v>70.963541666666671</v>
      </c>
      <c r="K63" s="113" t="s">
        <v>54</v>
      </c>
      <c r="L63" s="114" t="s">
        <v>90</v>
      </c>
      <c r="M63" s="136">
        <f t="shared" si="8"/>
        <v>6</v>
      </c>
      <c r="N63" s="136">
        <f t="shared" si="9"/>
        <v>0</v>
      </c>
      <c r="O63" s="115" t="s">
        <v>69</v>
      </c>
      <c r="P63" s="148">
        <f t="shared" si="6"/>
        <v>431.69487847222223</v>
      </c>
      <c r="Q63" s="148">
        <f t="shared" si="10"/>
        <v>215.85</v>
      </c>
      <c r="R63" s="148">
        <f t="shared" si="4"/>
        <v>851.5625</v>
      </c>
      <c r="S63" s="148">
        <f t="shared" si="11"/>
        <v>215.85</v>
      </c>
      <c r="T63" s="115">
        <v>229</v>
      </c>
      <c r="U63" s="115" t="s">
        <v>83</v>
      </c>
    </row>
    <row r="64" spans="1:21" x14ac:dyDescent="0.2">
      <c r="A64" s="127">
        <v>61</v>
      </c>
      <c r="B64" s="108" t="s">
        <v>70</v>
      </c>
      <c r="C64" s="109">
        <v>41760</v>
      </c>
      <c r="D64" s="109">
        <v>42125</v>
      </c>
      <c r="E64" s="132">
        <f t="shared" ref="E64:E95" si="12">+EOMONTH(D64,5)</f>
        <v>42308</v>
      </c>
      <c r="F64" s="111">
        <v>900</v>
      </c>
      <c r="G64" s="111">
        <v>0</v>
      </c>
      <c r="H64" s="111">
        <v>121.875</v>
      </c>
      <c r="I64" s="112"/>
      <c r="J64" s="111">
        <v>85.15625</v>
      </c>
      <c r="K64" s="113" t="s">
        <v>54</v>
      </c>
      <c r="L64" s="114" t="s">
        <v>90</v>
      </c>
      <c r="M64" s="136">
        <f t="shared" ref="M64:M95" si="13">IF(C64&gt;D64,QUOTIENT(DAYS360(C64,E64),30),6)</f>
        <v>6</v>
      </c>
      <c r="N64" s="136">
        <f t="shared" ref="N64:N95" si="14">IF(C64&gt;D64,MOD(DAYS360(C64,E64),30),0)</f>
        <v>0</v>
      </c>
      <c r="O64" s="115" t="s">
        <v>69</v>
      </c>
      <c r="P64" s="148">
        <f t="shared" si="6"/>
        <v>518.03385416666663</v>
      </c>
      <c r="Q64" s="148">
        <f t="shared" ref="Q64:Q95" si="15">ROUND(((P64/12)*M64)+((P64/12/30)*N64),2)</f>
        <v>259.02</v>
      </c>
      <c r="R64" s="148">
        <f t="shared" si="4"/>
        <v>1021.875</v>
      </c>
      <c r="S64" s="148">
        <f t="shared" ref="S64:S95" si="16">ROUND(Q64,2)</f>
        <v>259.02</v>
      </c>
      <c r="T64" s="115">
        <v>233</v>
      </c>
      <c r="U64" s="115" t="s">
        <v>83</v>
      </c>
    </row>
    <row r="65" spans="1:21" x14ac:dyDescent="0.2">
      <c r="A65" s="127">
        <v>62</v>
      </c>
      <c r="B65" s="108" t="s">
        <v>70</v>
      </c>
      <c r="C65" s="109">
        <v>41760</v>
      </c>
      <c r="D65" s="109">
        <v>42125</v>
      </c>
      <c r="E65" s="132">
        <f t="shared" si="12"/>
        <v>42308</v>
      </c>
      <c r="F65" s="111">
        <v>950</v>
      </c>
      <c r="G65" s="111">
        <v>0</v>
      </c>
      <c r="H65" s="111">
        <v>128.64583333333334</v>
      </c>
      <c r="I65" s="112"/>
      <c r="J65" s="111">
        <v>89.887152777777771</v>
      </c>
      <c r="K65" s="113" t="s">
        <v>54</v>
      </c>
      <c r="L65" s="114" t="s">
        <v>90</v>
      </c>
      <c r="M65" s="136">
        <f t="shared" si="13"/>
        <v>6</v>
      </c>
      <c r="N65" s="136">
        <f t="shared" si="14"/>
        <v>0</v>
      </c>
      <c r="O65" s="115" t="s">
        <v>69</v>
      </c>
      <c r="P65" s="148">
        <f t="shared" si="6"/>
        <v>546.81351273148141</v>
      </c>
      <c r="Q65" s="148">
        <f t="shared" si="15"/>
        <v>273.41000000000003</v>
      </c>
      <c r="R65" s="148">
        <f t="shared" ref="R65:R137" si="17">SUM(F65:I65)</f>
        <v>1078.6458333333333</v>
      </c>
      <c r="S65" s="148">
        <f t="shared" si="16"/>
        <v>273.41000000000003</v>
      </c>
      <c r="T65" s="115">
        <v>234</v>
      </c>
      <c r="U65" s="115" t="s">
        <v>83</v>
      </c>
    </row>
    <row r="66" spans="1:21" x14ac:dyDescent="0.2">
      <c r="A66" s="127">
        <v>63</v>
      </c>
      <c r="B66" s="108" t="s">
        <v>70</v>
      </c>
      <c r="C66" s="109">
        <v>41760</v>
      </c>
      <c r="D66" s="109">
        <v>42125</v>
      </c>
      <c r="E66" s="132">
        <f t="shared" si="12"/>
        <v>42308</v>
      </c>
      <c r="F66" s="111">
        <v>900</v>
      </c>
      <c r="G66" s="111">
        <v>0</v>
      </c>
      <c r="H66" s="111">
        <v>121.875</v>
      </c>
      <c r="I66" s="112"/>
      <c r="J66" s="111">
        <v>85.15625</v>
      </c>
      <c r="K66" s="113" t="s">
        <v>54</v>
      </c>
      <c r="L66" s="114" t="s">
        <v>90</v>
      </c>
      <c r="M66" s="136">
        <f t="shared" si="13"/>
        <v>6</v>
      </c>
      <c r="N66" s="136">
        <f t="shared" si="14"/>
        <v>0</v>
      </c>
      <c r="O66" s="115" t="s">
        <v>69</v>
      </c>
      <c r="P66" s="148">
        <f t="shared" si="6"/>
        <v>518.03385416666663</v>
      </c>
      <c r="Q66" s="148">
        <f t="shared" si="15"/>
        <v>259.02</v>
      </c>
      <c r="R66" s="148">
        <f t="shared" si="17"/>
        <v>1021.875</v>
      </c>
      <c r="S66" s="148">
        <f t="shared" si="16"/>
        <v>259.02</v>
      </c>
      <c r="T66" s="115">
        <v>235</v>
      </c>
      <c r="U66" s="115" t="s">
        <v>83</v>
      </c>
    </row>
    <row r="67" spans="1:21" x14ac:dyDescent="0.2">
      <c r="A67" s="127">
        <v>64</v>
      </c>
      <c r="B67" s="108" t="s">
        <v>70</v>
      </c>
      <c r="C67" s="109">
        <v>41918</v>
      </c>
      <c r="D67" s="109">
        <v>42125</v>
      </c>
      <c r="E67" s="132">
        <f t="shared" si="12"/>
        <v>42308</v>
      </c>
      <c r="F67" s="111">
        <v>950</v>
      </c>
      <c r="G67" s="111">
        <v>0</v>
      </c>
      <c r="H67" s="111">
        <v>128.64583333333334</v>
      </c>
      <c r="I67" s="112"/>
      <c r="J67" s="111">
        <v>89.887152777777771</v>
      </c>
      <c r="K67" s="113" t="s">
        <v>54</v>
      </c>
      <c r="L67" s="114" t="s">
        <v>90</v>
      </c>
      <c r="M67" s="136">
        <f t="shared" si="13"/>
        <v>6</v>
      </c>
      <c r="N67" s="136">
        <f t="shared" si="14"/>
        <v>0</v>
      </c>
      <c r="O67" s="115" t="s">
        <v>69</v>
      </c>
      <c r="P67" s="148">
        <f t="shared" si="6"/>
        <v>546.81351273148141</v>
      </c>
      <c r="Q67" s="148">
        <f t="shared" si="15"/>
        <v>273.41000000000003</v>
      </c>
      <c r="R67" s="148">
        <f t="shared" si="17"/>
        <v>1078.6458333333333</v>
      </c>
      <c r="S67" s="148">
        <f t="shared" si="16"/>
        <v>273.41000000000003</v>
      </c>
      <c r="T67" s="115">
        <v>236</v>
      </c>
      <c r="U67" s="115" t="s">
        <v>83</v>
      </c>
    </row>
    <row r="68" spans="1:21" x14ac:dyDescent="0.2">
      <c r="A68" s="127">
        <v>65</v>
      </c>
      <c r="B68" s="108" t="s">
        <v>70</v>
      </c>
      <c r="C68" s="109">
        <v>41795</v>
      </c>
      <c r="D68" s="109">
        <v>42125</v>
      </c>
      <c r="E68" s="132">
        <f t="shared" si="12"/>
        <v>42308</v>
      </c>
      <c r="F68" s="111">
        <v>950</v>
      </c>
      <c r="G68" s="111">
        <v>0</v>
      </c>
      <c r="H68" s="111">
        <v>128.64583333333334</v>
      </c>
      <c r="I68" s="112"/>
      <c r="J68" s="111">
        <v>89.887152777777771</v>
      </c>
      <c r="K68" s="113" t="s">
        <v>54</v>
      </c>
      <c r="L68" s="114" t="s">
        <v>90</v>
      </c>
      <c r="M68" s="136">
        <f t="shared" si="13"/>
        <v>6</v>
      </c>
      <c r="N68" s="136">
        <f t="shared" si="14"/>
        <v>0</v>
      </c>
      <c r="O68" s="115" t="s">
        <v>69</v>
      </c>
      <c r="P68" s="148">
        <f t="shared" si="6"/>
        <v>546.81351273148141</v>
      </c>
      <c r="Q68" s="148">
        <f t="shared" si="15"/>
        <v>273.41000000000003</v>
      </c>
      <c r="R68" s="148">
        <f t="shared" si="17"/>
        <v>1078.6458333333333</v>
      </c>
      <c r="S68" s="148">
        <f t="shared" si="16"/>
        <v>273.41000000000003</v>
      </c>
      <c r="T68" s="115">
        <v>237</v>
      </c>
      <c r="U68" s="115" t="s">
        <v>83</v>
      </c>
    </row>
    <row r="69" spans="1:21" x14ac:dyDescent="0.2">
      <c r="A69" s="127">
        <v>66</v>
      </c>
      <c r="B69" s="108" t="s">
        <v>70</v>
      </c>
      <c r="C69" s="109">
        <v>42186</v>
      </c>
      <c r="D69" s="109">
        <v>42125</v>
      </c>
      <c r="E69" s="132">
        <f t="shared" si="12"/>
        <v>42308</v>
      </c>
      <c r="F69" s="111">
        <v>800</v>
      </c>
      <c r="G69" s="111">
        <v>0</v>
      </c>
      <c r="H69" s="111">
        <v>108.33333333333334</v>
      </c>
      <c r="I69" s="112"/>
      <c r="J69" s="111">
        <v>51.304012345679013</v>
      </c>
      <c r="K69" s="113" t="s">
        <v>54</v>
      </c>
      <c r="L69" s="114" t="s">
        <v>90</v>
      </c>
      <c r="M69" s="136">
        <f t="shared" si="13"/>
        <v>4</v>
      </c>
      <c r="N69" s="136">
        <f t="shared" si="14"/>
        <v>0</v>
      </c>
      <c r="O69" s="115" t="s">
        <v>69</v>
      </c>
      <c r="P69" s="148">
        <f t="shared" si="6"/>
        <v>458.4420010288066</v>
      </c>
      <c r="Q69" s="148">
        <f t="shared" si="15"/>
        <v>152.81</v>
      </c>
      <c r="R69" s="148">
        <f t="shared" si="17"/>
        <v>908.33333333333337</v>
      </c>
      <c r="S69" s="148">
        <f t="shared" si="16"/>
        <v>152.81</v>
      </c>
      <c r="T69" s="115">
        <v>238</v>
      </c>
      <c r="U69" s="115" t="s">
        <v>83</v>
      </c>
    </row>
    <row r="70" spans="1:21" x14ac:dyDescent="0.2">
      <c r="A70" s="127">
        <v>67</v>
      </c>
      <c r="B70" s="108" t="s">
        <v>70</v>
      </c>
      <c r="C70" s="109">
        <v>41760</v>
      </c>
      <c r="D70" s="109">
        <v>42125</v>
      </c>
      <c r="E70" s="132">
        <f t="shared" si="12"/>
        <v>42308</v>
      </c>
      <c r="F70" s="111">
        <v>1050</v>
      </c>
      <c r="G70" s="111">
        <v>0</v>
      </c>
      <c r="H70" s="111">
        <v>142.1875</v>
      </c>
      <c r="I70" s="112"/>
      <c r="J70" s="111">
        <v>99.348958333333329</v>
      </c>
      <c r="K70" s="113" t="s">
        <v>54</v>
      </c>
      <c r="L70" s="114" t="s">
        <v>90</v>
      </c>
      <c r="M70" s="136">
        <f t="shared" si="13"/>
        <v>6</v>
      </c>
      <c r="N70" s="136">
        <f t="shared" si="14"/>
        <v>0</v>
      </c>
      <c r="O70" s="115" t="s">
        <v>69</v>
      </c>
      <c r="P70" s="148">
        <f t="shared" si="6"/>
        <v>604.37282986111109</v>
      </c>
      <c r="Q70" s="148">
        <f t="shared" si="15"/>
        <v>302.19</v>
      </c>
      <c r="R70" s="148">
        <f t="shared" si="17"/>
        <v>1192.1875</v>
      </c>
      <c r="S70" s="148">
        <f t="shared" si="16"/>
        <v>302.19</v>
      </c>
      <c r="T70" s="115">
        <v>239</v>
      </c>
      <c r="U70" s="115" t="s">
        <v>83</v>
      </c>
    </row>
    <row r="71" spans="1:21" x14ac:dyDescent="0.2">
      <c r="A71" s="127">
        <v>68</v>
      </c>
      <c r="B71" s="108" t="s">
        <v>70</v>
      </c>
      <c r="C71" s="109">
        <v>41766</v>
      </c>
      <c r="D71" s="109">
        <v>42125</v>
      </c>
      <c r="E71" s="132">
        <f t="shared" si="12"/>
        <v>42308</v>
      </c>
      <c r="F71" s="111">
        <v>1100</v>
      </c>
      <c r="G71" s="111">
        <v>0</v>
      </c>
      <c r="H71" s="111">
        <v>0</v>
      </c>
      <c r="I71" s="112"/>
      <c r="J71" s="111">
        <v>91.666666666666671</v>
      </c>
      <c r="K71" s="113" t="s">
        <v>54</v>
      </c>
      <c r="L71" s="114" t="s">
        <v>90</v>
      </c>
      <c r="M71" s="136">
        <f t="shared" si="13"/>
        <v>6</v>
      </c>
      <c r="N71" s="136">
        <f t="shared" si="14"/>
        <v>0</v>
      </c>
      <c r="O71" s="115" t="s">
        <v>69</v>
      </c>
      <c r="P71" s="148">
        <f t="shared" si="6"/>
        <v>557.63888888888891</v>
      </c>
      <c r="Q71" s="148">
        <f t="shared" si="15"/>
        <v>278.82</v>
      </c>
      <c r="R71" s="148">
        <f t="shared" si="17"/>
        <v>1100</v>
      </c>
      <c r="S71" s="148">
        <f t="shared" si="16"/>
        <v>278.82</v>
      </c>
      <c r="T71" s="115">
        <v>243</v>
      </c>
      <c r="U71" s="115" t="s">
        <v>83</v>
      </c>
    </row>
    <row r="72" spans="1:21" x14ac:dyDescent="0.2">
      <c r="A72" s="127">
        <v>69</v>
      </c>
      <c r="B72" s="108" t="s">
        <v>70</v>
      </c>
      <c r="C72" s="109">
        <v>42217</v>
      </c>
      <c r="D72" s="109">
        <v>42125</v>
      </c>
      <c r="E72" s="132">
        <f t="shared" si="12"/>
        <v>42308</v>
      </c>
      <c r="F72" s="111">
        <v>850</v>
      </c>
      <c r="G72" s="111">
        <v>0</v>
      </c>
      <c r="H72" s="111">
        <v>115.10416666666666</v>
      </c>
      <c r="I72" s="112"/>
      <c r="J72" s="111">
        <v>40.659481095679006</v>
      </c>
      <c r="K72" s="113" t="s">
        <v>54</v>
      </c>
      <c r="L72" s="114" t="s">
        <v>90</v>
      </c>
      <c r="M72" s="136">
        <f t="shared" si="13"/>
        <v>3</v>
      </c>
      <c r="N72" s="136">
        <f t="shared" si="14"/>
        <v>0</v>
      </c>
      <c r="O72" s="115" t="s">
        <v>69</v>
      </c>
      <c r="P72" s="148">
        <f t="shared" ref="P72:P135" si="18">IF(U72="MYPE",((SUM(F72:I72)+(J72/6))/2),(SUM(F72:I72)+(J72/6)))</f>
        <v>485.94037342463992</v>
      </c>
      <c r="Q72" s="148">
        <f t="shared" si="15"/>
        <v>121.49</v>
      </c>
      <c r="R72" s="148">
        <f t="shared" si="17"/>
        <v>965.10416666666663</v>
      </c>
      <c r="S72" s="148">
        <f t="shared" si="16"/>
        <v>121.49</v>
      </c>
      <c r="T72" s="115">
        <v>246</v>
      </c>
      <c r="U72" s="115" t="s">
        <v>83</v>
      </c>
    </row>
    <row r="73" spans="1:21" x14ac:dyDescent="0.2">
      <c r="A73" s="127">
        <v>70</v>
      </c>
      <c r="B73" s="108" t="s">
        <v>70</v>
      </c>
      <c r="C73" s="109">
        <v>42095</v>
      </c>
      <c r="D73" s="109">
        <v>42125</v>
      </c>
      <c r="E73" s="132">
        <f t="shared" si="12"/>
        <v>42308</v>
      </c>
      <c r="F73" s="111">
        <v>800</v>
      </c>
      <c r="G73" s="111">
        <v>0</v>
      </c>
      <c r="H73" s="111">
        <v>108.33333333333334</v>
      </c>
      <c r="I73" s="112"/>
      <c r="J73" s="111">
        <v>75.694444444444443</v>
      </c>
      <c r="K73" s="113" t="s">
        <v>54</v>
      </c>
      <c r="L73" s="114" t="s">
        <v>90</v>
      </c>
      <c r="M73" s="136">
        <f t="shared" si="13"/>
        <v>6</v>
      </c>
      <c r="N73" s="136">
        <f t="shared" si="14"/>
        <v>0</v>
      </c>
      <c r="O73" s="115" t="s">
        <v>69</v>
      </c>
      <c r="P73" s="148">
        <f t="shared" si="18"/>
        <v>460.47453703703707</v>
      </c>
      <c r="Q73" s="148">
        <f t="shared" si="15"/>
        <v>230.24</v>
      </c>
      <c r="R73" s="148">
        <f t="shared" si="17"/>
        <v>908.33333333333337</v>
      </c>
      <c r="S73" s="148">
        <f t="shared" si="16"/>
        <v>230.24</v>
      </c>
      <c r="T73" s="115">
        <v>247</v>
      </c>
      <c r="U73" s="115" t="s">
        <v>83</v>
      </c>
    </row>
    <row r="74" spans="1:21" x14ac:dyDescent="0.2">
      <c r="A74" s="127">
        <v>71</v>
      </c>
      <c r="B74" s="108" t="s">
        <v>70</v>
      </c>
      <c r="C74" s="109">
        <v>41805</v>
      </c>
      <c r="D74" s="109">
        <v>42125</v>
      </c>
      <c r="E74" s="132">
        <f t="shared" si="12"/>
        <v>42308</v>
      </c>
      <c r="F74" s="111">
        <v>1100</v>
      </c>
      <c r="G74" s="111">
        <v>0</v>
      </c>
      <c r="H74" s="111">
        <v>148.95833333333331</v>
      </c>
      <c r="I74" s="112"/>
      <c r="J74" s="111">
        <v>104.0798611111111</v>
      </c>
      <c r="K74" s="113" t="s">
        <v>54</v>
      </c>
      <c r="L74" s="114" t="s">
        <v>90</v>
      </c>
      <c r="M74" s="136">
        <f t="shared" si="13"/>
        <v>6</v>
      </c>
      <c r="N74" s="136">
        <f t="shared" si="14"/>
        <v>0</v>
      </c>
      <c r="O74" s="115" t="s">
        <v>69</v>
      </c>
      <c r="P74" s="148">
        <f t="shared" si="18"/>
        <v>633.15248842592587</v>
      </c>
      <c r="Q74" s="148">
        <f t="shared" si="15"/>
        <v>316.58</v>
      </c>
      <c r="R74" s="148">
        <f t="shared" si="17"/>
        <v>1248.9583333333333</v>
      </c>
      <c r="S74" s="148">
        <f t="shared" si="16"/>
        <v>316.58</v>
      </c>
      <c r="T74" s="115">
        <v>259</v>
      </c>
      <c r="U74" s="115" t="s">
        <v>83</v>
      </c>
    </row>
    <row r="75" spans="1:21" x14ac:dyDescent="0.2">
      <c r="A75" s="127">
        <v>72</v>
      </c>
      <c r="B75" s="108" t="s">
        <v>70</v>
      </c>
      <c r="C75" s="109">
        <v>41883</v>
      </c>
      <c r="D75" s="109">
        <v>42125</v>
      </c>
      <c r="E75" s="132">
        <f t="shared" si="12"/>
        <v>42308</v>
      </c>
      <c r="F75" s="111">
        <v>850</v>
      </c>
      <c r="G75" s="111">
        <v>0</v>
      </c>
      <c r="H75" s="111">
        <v>115.10416666666666</v>
      </c>
      <c r="I75" s="112"/>
      <c r="J75" s="111">
        <v>80.425347222222214</v>
      </c>
      <c r="K75" s="113" t="s">
        <v>54</v>
      </c>
      <c r="L75" s="114" t="s">
        <v>90</v>
      </c>
      <c r="M75" s="136">
        <f t="shared" si="13"/>
        <v>6</v>
      </c>
      <c r="N75" s="136">
        <f t="shared" si="14"/>
        <v>0</v>
      </c>
      <c r="O75" s="115" t="s">
        <v>69</v>
      </c>
      <c r="P75" s="148">
        <f t="shared" si="18"/>
        <v>489.25419560185185</v>
      </c>
      <c r="Q75" s="148">
        <f t="shared" si="15"/>
        <v>244.63</v>
      </c>
      <c r="R75" s="148">
        <f t="shared" si="17"/>
        <v>965.10416666666663</v>
      </c>
      <c r="S75" s="148">
        <f t="shared" si="16"/>
        <v>244.63</v>
      </c>
      <c r="T75" s="115">
        <v>267</v>
      </c>
      <c r="U75" s="115" t="s">
        <v>83</v>
      </c>
    </row>
    <row r="76" spans="1:21" x14ac:dyDescent="0.2">
      <c r="A76" s="127">
        <v>73</v>
      </c>
      <c r="B76" s="108" t="s">
        <v>70</v>
      </c>
      <c r="C76" s="109">
        <v>41883</v>
      </c>
      <c r="D76" s="109">
        <v>42125</v>
      </c>
      <c r="E76" s="132">
        <f t="shared" si="12"/>
        <v>42308</v>
      </c>
      <c r="F76" s="111">
        <v>1000</v>
      </c>
      <c r="G76" s="111">
        <v>0</v>
      </c>
      <c r="H76" s="111">
        <v>135.41666666666669</v>
      </c>
      <c r="I76" s="112"/>
      <c r="J76" s="111">
        <v>94.618055555555557</v>
      </c>
      <c r="K76" s="113" t="s">
        <v>54</v>
      </c>
      <c r="L76" s="114" t="s">
        <v>90</v>
      </c>
      <c r="M76" s="136">
        <f t="shared" si="13"/>
        <v>6</v>
      </c>
      <c r="N76" s="136">
        <f t="shared" si="14"/>
        <v>0</v>
      </c>
      <c r="O76" s="115" t="s">
        <v>69</v>
      </c>
      <c r="P76" s="148">
        <f t="shared" si="18"/>
        <v>575.5931712962963</v>
      </c>
      <c r="Q76" s="148">
        <f t="shared" si="15"/>
        <v>287.8</v>
      </c>
      <c r="R76" s="148">
        <f t="shared" si="17"/>
        <v>1135.4166666666667</v>
      </c>
      <c r="S76" s="148">
        <f t="shared" si="16"/>
        <v>287.8</v>
      </c>
      <c r="T76" s="115">
        <v>268</v>
      </c>
      <c r="U76" s="115" t="s">
        <v>83</v>
      </c>
    </row>
    <row r="77" spans="1:21" x14ac:dyDescent="0.2">
      <c r="A77" s="127">
        <v>74</v>
      </c>
      <c r="B77" s="108" t="s">
        <v>70</v>
      </c>
      <c r="C77" s="109">
        <v>41890</v>
      </c>
      <c r="D77" s="109">
        <v>42125</v>
      </c>
      <c r="E77" s="132">
        <f t="shared" si="12"/>
        <v>42308</v>
      </c>
      <c r="F77" s="111">
        <v>800</v>
      </c>
      <c r="G77" s="111">
        <v>0</v>
      </c>
      <c r="H77" s="111">
        <v>108.33333333333334</v>
      </c>
      <c r="I77" s="112"/>
      <c r="J77" s="111">
        <v>75.694444444444443</v>
      </c>
      <c r="K77" s="113" t="s">
        <v>54</v>
      </c>
      <c r="L77" s="114" t="s">
        <v>90</v>
      </c>
      <c r="M77" s="136">
        <f t="shared" si="13"/>
        <v>6</v>
      </c>
      <c r="N77" s="136">
        <f t="shared" si="14"/>
        <v>0</v>
      </c>
      <c r="O77" s="115" t="s">
        <v>69</v>
      </c>
      <c r="P77" s="148">
        <f t="shared" si="18"/>
        <v>460.47453703703707</v>
      </c>
      <c r="Q77" s="148">
        <f t="shared" si="15"/>
        <v>230.24</v>
      </c>
      <c r="R77" s="148">
        <f t="shared" si="17"/>
        <v>908.33333333333337</v>
      </c>
      <c r="S77" s="148">
        <f t="shared" si="16"/>
        <v>230.24</v>
      </c>
      <c r="T77" s="115">
        <v>273</v>
      </c>
      <c r="U77" s="115" t="s">
        <v>83</v>
      </c>
    </row>
    <row r="78" spans="1:21" x14ac:dyDescent="0.2">
      <c r="A78" s="127">
        <v>75</v>
      </c>
      <c r="B78" s="108" t="s">
        <v>70</v>
      </c>
      <c r="C78" s="109">
        <v>41892</v>
      </c>
      <c r="D78" s="109">
        <v>42125</v>
      </c>
      <c r="E78" s="132">
        <f t="shared" si="12"/>
        <v>42308</v>
      </c>
      <c r="F78" s="111">
        <v>850</v>
      </c>
      <c r="G78" s="111">
        <v>0</v>
      </c>
      <c r="H78" s="111">
        <v>115.10416666666666</v>
      </c>
      <c r="I78" s="112"/>
      <c r="J78" s="111">
        <v>80.425347222222214</v>
      </c>
      <c r="K78" s="113" t="s">
        <v>54</v>
      </c>
      <c r="L78" s="114" t="s">
        <v>90</v>
      </c>
      <c r="M78" s="136">
        <f t="shared" si="13"/>
        <v>6</v>
      </c>
      <c r="N78" s="136">
        <f t="shared" si="14"/>
        <v>0</v>
      </c>
      <c r="O78" s="115" t="s">
        <v>69</v>
      </c>
      <c r="P78" s="148">
        <f t="shared" si="18"/>
        <v>489.25419560185185</v>
      </c>
      <c r="Q78" s="148">
        <f t="shared" si="15"/>
        <v>244.63</v>
      </c>
      <c r="R78" s="148">
        <f t="shared" si="17"/>
        <v>965.10416666666663</v>
      </c>
      <c r="S78" s="148">
        <f t="shared" si="16"/>
        <v>244.63</v>
      </c>
      <c r="T78" s="115">
        <v>274</v>
      </c>
      <c r="U78" s="115" t="s">
        <v>83</v>
      </c>
    </row>
    <row r="79" spans="1:21" x14ac:dyDescent="0.2">
      <c r="A79" s="127">
        <v>76</v>
      </c>
      <c r="B79" s="108" t="s">
        <v>70</v>
      </c>
      <c r="C79" s="109">
        <v>41897</v>
      </c>
      <c r="D79" s="109">
        <v>42125</v>
      </c>
      <c r="E79" s="132">
        <f t="shared" si="12"/>
        <v>42308</v>
      </c>
      <c r="F79" s="111">
        <v>950</v>
      </c>
      <c r="G79" s="111">
        <v>0</v>
      </c>
      <c r="H79" s="111">
        <v>128.64583333333334</v>
      </c>
      <c r="I79" s="112"/>
      <c r="J79" s="111">
        <v>89.887152777777771</v>
      </c>
      <c r="K79" s="113" t="s">
        <v>54</v>
      </c>
      <c r="L79" s="114" t="s">
        <v>90</v>
      </c>
      <c r="M79" s="136">
        <f t="shared" si="13"/>
        <v>6</v>
      </c>
      <c r="N79" s="136">
        <f t="shared" si="14"/>
        <v>0</v>
      </c>
      <c r="O79" s="115" t="s">
        <v>69</v>
      </c>
      <c r="P79" s="148">
        <f t="shared" si="18"/>
        <v>546.81351273148141</v>
      </c>
      <c r="Q79" s="148">
        <f t="shared" si="15"/>
        <v>273.41000000000003</v>
      </c>
      <c r="R79" s="148">
        <f t="shared" si="17"/>
        <v>1078.6458333333333</v>
      </c>
      <c r="S79" s="148">
        <f t="shared" si="16"/>
        <v>273.41000000000003</v>
      </c>
      <c r="T79" s="115">
        <v>276</v>
      </c>
      <c r="U79" s="115" t="s">
        <v>83</v>
      </c>
    </row>
    <row r="80" spans="1:21" x14ac:dyDescent="0.2">
      <c r="A80" s="127">
        <v>77</v>
      </c>
      <c r="B80" s="108" t="s">
        <v>70</v>
      </c>
      <c r="C80" s="109">
        <v>41921</v>
      </c>
      <c r="D80" s="109">
        <v>42125</v>
      </c>
      <c r="E80" s="132">
        <f t="shared" si="12"/>
        <v>42308</v>
      </c>
      <c r="F80" s="111">
        <v>950</v>
      </c>
      <c r="G80" s="111">
        <v>0</v>
      </c>
      <c r="H80" s="111">
        <v>128.64583333333334</v>
      </c>
      <c r="I80" s="112"/>
      <c r="J80" s="111">
        <v>89.887152777777771</v>
      </c>
      <c r="K80" s="113" t="s">
        <v>54</v>
      </c>
      <c r="L80" s="114" t="s">
        <v>90</v>
      </c>
      <c r="M80" s="136">
        <f t="shared" si="13"/>
        <v>6</v>
      </c>
      <c r="N80" s="136">
        <f t="shared" si="14"/>
        <v>0</v>
      </c>
      <c r="O80" s="115" t="s">
        <v>69</v>
      </c>
      <c r="P80" s="148">
        <f t="shared" si="18"/>
        <v>546.81351273148141</v>
      </c>
      <c r="Q80" s="148">
        <f t="shared" si="15"/>
        <v>273.41000000000003</v>
      </c>
      <c r="R80" s="148">
        <f t="shared" si="17"/>
        <v>1078.6458333333333</v>
      </c>
      <c r="S80" s="148">
        <f t="shared" si="16"/>
        <v>273.41000000000003</v>
      </c>
      <c r="T80" s="115">
        <v>279</v>
      </c>
      <c r="U80" s="115" t="s">
        <v>83</v>
      </c>
    </row>
    <row r="81" spans="1:21" x14ac:dyDescent="0.2">
      <c r="A81" s="127">
        <v>78</v>
      </c>
      <c r="B81" s="108" t="s">
        <v>70</v>
      </c>
      <c r="C81" s="109">
        <v>41944</v>
      </c>
      <c r="D81" s="109">
        <v>42125</v>
      </c>
      <c r="E81" s="132">
        <f t="shared" si="12"/>
        <v>42308</v>
      </c>
      <c r="F81" s="111">
        <v>950</v>
      </c>
      <c r="G81" s="111">
        <v>0</v>
      </c>
      <c r="H81" s="111">
        <v>128.64583333333334</v>
      </c>
      <c r="I81" s="112"/>
      <c r="J81" s="111">
        <v>89.887152777777771</v>
      </c>
      <c r="K81" s="113" t="s">
        <v>54</v>
      </c>
      <c r="L81" s="114" t="s">
        <v>90</v>
      </c>
      <c r="M81" s="136">
        <f t="shared" si="13"/>
        <v>6</v>
      </c>
      <c r="N81" s="136">
        <f t="shared" si="14"/>
        <v>0</v>
      </c>
      <c r="O81" s="115" t="s">
        <v>69</v>
      </c>
      <c r="P81" s="148">
        <f t="shared" si="18"/>
        <v>546.81351273148141</v>
      </c>
      <c r="Q81" s="148">
        <f t="shared" si="15"/>
        <v>273.41000000000003</v>
      </c>
      <c r="R81" s="148">
        <f t="shared" si="17"/>
        <v>1078.6458333333333</v>
      </c>
      <c r="S81" s="148">
        <f t="shared" si="16"/>
        <v>273.41000000000003</v>
      </c>
      <c r="T81" s="115">
        <v>283</v>
      </c>
      <c r="U81" s="115" t="s">
        <v>83</v>
      </c>
    </row>
    <row r="82" spans="1:21" x14ac:dyDescent="0.2">
      <c r="A82" s="127">
        <v>79</v>
      </c>
      <c r="B82" s="108" t="s">
        <v>70</v>
      </c>
      <c r="C82" s="109">
        <v>41948</v>
      </c>
      <c r="D82" s="109">
        <v>42125</v>
      </c>
      <c r="E82" s="132">
        <f t="shared" si="12"/>
        <v>42308</v>
      </c>
      <c r="F82" s="111">
        <v>1150</v>
      </c>
      <c r="G82" s="111">
        <v>0</v>
      </c>
      <c r="H82" s="111">
        <v>0</v>
      </c>
      <c r="I82" s="112"/>
      <c r="J82" s="111">
        <v>95.833333333333329</v>
      </c>
      <c r="K82" s="113" t="s">
        <v>54</v>
      </c>
      <c r="L82" s="114" t="s">
        <v>90</v>
      </c>
      <c r="M82" s="136">
        <f t="shared" si="13"/>
        <v>6</v>
      </c>
      <c r="N82" s="136">
        <f t="shared" si="14"/>
        <v>0</v>
      </c>
      <c r="O82" s="115" t="s">
        <v>69</v>
      </c>
      <c r="P82" s="148">
        <f t="shared" si="18"/>
        <v>582.98611111111109</v>
      </c>
      <c r="Q82" s="148">
        <f t="shared" si="15"/>
        <v>291.49</v>
      </c>
      <c r="R82" s="148">
        <f t="shared" si="17"/>
        <v>1150</v>
      </c>
      <c r="S82" s="148">
        <f t="shared" si="16"/>
        <v>291.49</v>
      </c>
      <c r="T82" s="115">
        <v>285</v>
      </c>
      <c r="U82" s="115" t="s">
        <v>83</v>
      </c>
    </row>
    <row r="83" spans="1:21" x14ac:dyDescent="0.2">
      <c r="A83" s="127">
        <v>80</v>
      </c>
      <c r="B83" s="108" t="s">
        <v>70</v>
      </c>
      <c r="C83" s="109">
        <v>42005</v>
      </c>
      <c r="D83" s="109">
        <v>42125</v>
      </c>
      <c r="E83" s="132">
        <f t="shared" si="12"/>
        <v>42308</v>
      </c>
      <c r="F83" s="111">
        <v>800</v>
      </c>
      <c r="G83" s="111">
        <v>0</v>
      </c>
      <c r="H83" s="111">
        <v>108.33333333333334</v>
      </c>
      <c r="I83" s="112"/>
      <c r="J83" s="111">
        <v>75.694444444444443</v>
      </c>
      <c r="K83" s="113" t="s">
        <v>54</v>
      </c>
      <c r="L83" s="114" t="s">
        <v>90</v>
      </c>
      <c r="M83" s="136">
        <f t="shared" si="13"/>
        <v>6</v>
      </c>
      <c r="N83" s="136">
        <f t="shared" si="14"/>
        <v>0</v>
      </c>
      <c r="O83" s="115" t="s">
        <v>69</v>
      </c>
      <c r="P83" s="148">
        <f t="shared" si="18"/>
        <v>460.47453703703707</v>
      </c>
      <c r="Q83" s="148">
        <f t="shared" si="15"/>
        <v>230.24</v>
      </c>
      <c r="R83" s="148">
        <f t="shared" si="17"/>
        <v>908.33333333333337</v>
      </c>
      <c r="S83" s="148">
        <f t="shared" si="16"/>
        <v>230.24</v>
      </c>
      <c r="T83" s="115">
        <v>288</v>
      </c>
      <c r="U83" s="115" t="s">
        <v>83</v>
      </c>
    </row>
    <row r="84" spans="1:21" x14ac:dyDescent="0.2">
      <c r="A84" s="127">
        <v>81</v>
      </c>
      <c r="B84" s="108" t="s">
        <v>70</v>
      </c>
      <c r="C84" s="109">
        <v>42005</v>
      </c>
      <c r="D84" s="109">
        <v>42125</v>
      </c>
      <c r="E84" s="132">
        <f t="shared" si="12"/>
        <v>42308</v>
      </c>
      <c r="F84" s="111">
        <v>1000</v>
      </c>
      <c r="G84" s="111">
        <v>0</v>
      </c>
      <c r="H84" s="111">
        <v>135.41666666666669</v>
      </c>
      <c r="I84" s="112"/>
      <c r="J84" s="111">
        <v>94.618055555555557</v>
      </c>
      <c r="K84" s="113" t="s">
        <v>54</v>
      </c>
      <c r="L84" s="114" t="s">
        <v>90</v>
      </c>
      <c r="M84" s="136">
        <f t="shared" si="13"/>
        <v>6</v>
      </c>
      <c r="N84" s="136">
        <f t="shared" si="14"/>
        <v>0</v>
      </c>
      <c r="O84" s="115" t="s">
        <v>69</v>
      </c>
      <c r="P84" s="148">
        <f t="shared" si="18"/>
        <v>575.5931712962963</v>
      </c>
      <c r="Q84" s="148">
        <f t="shared" si="15"/>
        <v>287.8</v>
      </c>
      <c r="R84" s="148">
        <f t="shared" si="17"/>
        <v>1135.4166666666667</v>
      </c>
      <c r="S84" s="148">
        <f t="shared" si="16"/>
        <v>287.8</v>
      </c>
      <c r="T84" s="115">
        <v>289</v>
      </c>
      <c r="U84" s="115" t="s">
        <v>83</v>
      </c>
    </row>
    <row r="85" spans="1:21" x14ac:dyDescent="0.2">
      <c r="A85" s="127">
        <v>82</v>
      </c>
      <c r="B85" s="108" t="s">
        <v>70</v>
      </c>
      <c r="C85" s="109">
        <v>42005</v>
      </c>
      <c r="D85" s="109">
        <v>42125</v>
      </c>
      <c r="E85" s="132">
        <f t="shared" si="12"/>
        <v>42308</v>
      </c>
      <c r="F85" s="111">
        <v>1000</v>
      </c>
      <c r="G85" s="111">
        <v>0</v>
      </c>
      <c r="H85" s="111">
        <v>135.41666666666669</v>
      </c>
      <c r="I85" s="112"/>
      <c r="J85" s="111">
        <v>94.618055555555557</v>
      </c>
      <c r="K85" s="113" t="s">
        <v>54</v>
      </c>
      <c r="L85" s="114" t="s">
        <v>90</v>
      </c>
      <c r="M85" s="136">
        <f t="shared" si="13"/>
        <v>6</v>
      </c>
      <c r="N85" s="136">
        <f t="shared" si="14"/>
        <v>0</v>
      </c>
      <c r="O85" s="115" t="s">
        <v>69</v>
      </c>
      <c r="P85" s="148">
        <f t="shared" si="18"/>
        <v>575.5931712962963</v>
      </c>
      <c r="Q85" s="148">
        <f t="shared" si="15"/>
        <v>287.8</v>
      </c>
      <c r="R85" s="148">
        <f t="shared" si="17"/>
        <v>1135.4166666666667</v>
      </c>
      <c r="S85" s="148">
        <f t="shared" si="16"/>
        <v>287.8</v>
      </c>
      <c r="T85" s="115">
        <v>292</v>
      </c>
      <c r="U85" s="115" t="s">
        <v>83</v>
      </c>
    </row>
    <row r="86" spans="1:21" x14ac:dyDescent="0.2">
      <c r="A86" s="127">
        <v>83</v>
      </c>
      <c r="B86" s="108" t="s">
        <v>70</v>
      </c>
      <c r="C86" s="109">
        <v>42005</v>
      </c>
      <c r="D86" s="109">
        <v>42125</v>
      </c>
      <c r="E86" s="132">
        <f t="shared" si="12"/>
        <v>42308</v>
      </c>
      <c r="F86" s="111">
        <v>950</v>
      </c>
      <c r="G86" s="111">
        <v>0</v>
      </c>
      <c r="H86" s="111">
        <v>128.64583333333334</v>
      </c>
      <c r="I86" s="112"/>
      <c r="J86" s="111">
        <v>89.887152777777771</v>
      </c>
      <c r="K86" s="113" t="s">
        <v>54</v>
      </c>
      <c r="L86" s="114" t="s">
        <v>90</v>
      </c>
      <c r="M86" s="136">
        <f t="shared" si="13"/>
        <v>6</v>
      </c>
      <c r="N86" s="136">
        <f t="shared" si="14"/>
        <v>0</v>
      </c>
      <c r="O86" s="115" t="s">
        <v>69</v>
      </c>
      <c r="P86" s="148">
        <f t="shared" si="18"/>
        <v>546.81351273148141</v>
      </c>
      <c r="Q86" s="148">
        <f t="shared" si="15"/>
        <v>273.41000000000003</v>
      </c>
      <c r="R86" s="148">
        <f t="shared" si="17"/>
        <v>1078.6458333333333</v>
      </c>
      <c r="S86" s="148">
        <f t="shared" si="16"/>
        <v>273.41000000000003</v>
      </c>
      <c r="T86" s="115">
        <v>293</v>
      </c>
      <c r="U86" s="115" t="s">
        <v>83</v>
      </c>
    </row>
    <row r="87" spans="1:21" x14ac:dyDescent="0.2">
      <c r="A87" s="127">
        <v>84</v>
      </c>
      <c r="B87" s="108" t="s">
        <v>70</v>
      </c>
      <c r="C87" s="109">
        <v>42064</v>
      </c>
      <c r="D87" s="109">
        <v>42125</v>
      </c>
      <c r="E87" s="132">
        <f t="shared" si="12"/>
        <v>42308</v>
      </c>
      <c r="F87" s="111">
        <v>930</v>
      </c>
      <c r="G87" s="111">
        <v>0</v>
      </c>
      <c r="H87" s="111">
        <v>125.9375</v>
      </c>
      <c r="I87" s="112"/>
      <c r="J87" s="111">
        <v>87.994791666666671</v>
      </c>
      <c r="K87" s="113" t="s">
        <v>54</v>
      </c>
      <c r="L87" s="114" t="s">
        <v>90</v>
      </c>
      <c r="M87" s="136">
        <f t="shared" si="13"/>
        <v>6</v>
      </c>
      <c r="N87" s="136">
        <f t="shared" si="14"/>
        <v>0</v>
      </c>
      <c r="O87" s="115" t="s">
        <v>69</v>
      </c>
      <c r="P87" s="148">
        <f t="shared" si="18"/>
        <v>535.30164930555554</v>
      </c>
      <c r="Q87" s="148">
        <f t="shared" si="15"/>
        <v>267.64999999999998</v>
      </c>
      <c r="R87" s="148">
        <f t="shared" si="17"/>
        <v>1055.9375</v>
      </c>
      <c r="S87" s="148">
        <f t="shared" si="16"/>
        <v>267.64999999999998</v>
      </c>
      <c r="T87" s="115">
        <v>296</v>
      </c>
      <c r="U87" s="115" t="s">
        <v>83</v>
      </c>
    </row>
    <row r="88" spans="1:21" x14ac:dyDescent="0.2">
      <c r="A88" s="127">
        <v>85</v>
      </c>
      <c r="B88" s="108" t="s">
        <v>70</v>
      </c>
      <c r="C88" s="109">
        <v>42064</v>
      </c>
      <c r="D88" s="109">
        <v>42125</v>
      </c>
      <c r="E88" s="132">
        <f t="shared" si="12"/>
        <v>42308</v>
      </c>
      <c r="F88" s="111">
        <v>1100</v>
      </c>
      <c r="G88" s="111">
        <v>0</v>
      </c>
      <c r="H88" s="111">
        <v>148.95833333333331</v>
      </c>
      <c r="I88" s="112"/>
      <c r="J88" s="111">
        <v>104.0798611111111</v>
      </c>
      <c r="K88" s="113" t="s">
        <v>54</v>
      </c>
      <c r="L88" s="114" t="s">
        <v>90</v>
      </c>
      <c r="M88" s="136">
        <f t="shared" si="13"/>
        <v>6</v>
      </c>
      <c r="N88" s="136">
        <f t="shared" si="14"/>
        <v>0</v>
      </c>
      <c r="O88" s="115" t="s">
        <v>69</v>
      </c>
      <c r="P88" s="148">
        <f t="shared" si="18"/>
        <v>633.15248842592587</v>
      </c>
      <c r="Q88" s="148">
        <f t="shared" si="15"/>
        <v>316.58</v>
      </c>
      <c r="R88" s="148">
        <f t="shared" si="17"/>
        <v>1248.9583333333333</v>
      </c>
      <c r="S88" s="148">
        <f t="shared" si="16"/>
        <v>316.58</v>
      </c>
      <c r="T88" s="115">
        <v>297</v>
      </c>
      <c r="U88" s="115" t="s">
        <v>83</v>
      </c>
    </row>
    <row r="89" spans="1:21" x14ac:dyDescent="0.2">
      <c r="A89" s="127">
        <v>86</v>
      </c>
      <c r="B89" s="108" t="s">
        <v>70</v>
      </c>
      <c r="C89" s="109">
        <v>42067</v>
      </c>
      <c r="D89" s="109">
        <v>42125</v>
      </c>
      <c r="E89" s="132">
        <f t="shared" si="12"/>
        <v>42308</v>
      </c>
      <c r="F89" s="111">
        <v>1000</v>
      </c>
      <c r="G89" s="111">
        <v>0</v>
      </c>
      <c r="H89" s="111">
        <v>135.41666666666669</v>
      </c>
      <c r="I89" s="112"/>
      <c r="J89" s="111">
        <v>94.618055555555557</v>
      </c>
      <c r="K89" s="113" t="s">
        <v>54</v>
      </c>
      <c r="L89" s="114" t="s">
        <v>90</v>
      </c>
      <c r="M89" s="136">
        <f t="shared" si="13"/>
        <v>6</v>
      </c>
      <c r="N89" s="136">
        <f t="shared" si="14"/>
        <v>0</v>
      </c>
      <c r="O89" s="115" t="s">
        <v>69</v>
      </c>
      <c r="P89" s="148">
        <f t="shared" si="18"/>
        <v>575.5931712962963</v>
      </c>
      <c r="Q89" s="148">
        <f t="shared" si="15"/>
        <v>287.8</v>
      </c>
      <c r="R89" s="148">
        <f t="shared" si="17"/>
        <v>1135.4166666666667</v>
      </c>
      <c r="S89" s="148">
        <f t="shared" si="16"/>
        <v>287.8</v>
      </c>
      <c r="T89" s="115">
        <v>299</v>
      </c>
      <c r="U89" s="115" t="s">
        <v>83</v>
      </c>
    </row>
    <row r="90" spans="1:21" x14ac:dyDescent="0.2">
      <c r="A90" s="127">
        <v>87</v>
      </c>
      <c r="B90" s="108" t="s">
        <v>70</v>
      </c>
      <c r="C90" s="109">
        <v>35421</v>
      </c>
      <c r="D90" s="109">
        <v>42125</v>
      </c>
      <c r="E90" s="132">
        <f t="shared" si="12"/>
        <v>42308</v>
      </c>
      <c r="F90" s="111">
        <v>750</v>
      </c>
      <c r="G90" s="111">
        <v>0</v>
      </c>
      <c r="H90" s="111">
        <v>101.5625</v>
      </c>
      <c r="I90" s="112"/>
      <c r="J90" s="111">
        <v>70.963541666666671</v>
      </c>
      <c r="K90" s="113" t="s">
        <v>54</v>
      </c>
      <c r="L90" s="114" t="s">
        <v>90</v>
      </c>
      <c r="M90" s="136">
        <f t="shared" si="13"/>
        <v>6</v>
      </c>
      <c r="N90" s="136">
        <f t="shared" si="14"/>
        <v>0</v>
      </c>
      <c r="O90" s="115" t="s">
        <v>69</v>
      </c>
      <c r="P90" s="148">
        <f t="shared" si="18"/>
        <v>431.69487847222223</v>
      </c>
      <c r="Q90" s="148">
        <f t="shared" si="15"/>
        <v>215.85</v>
      </c>
      <c r="R90" s="148">
        <f t="shared" si="17"/>
        <v>851.5625</v>
      </c>
      <c r="S90" s="148">
        <f t="shared" si="16"/>
        <v>215.85</v>
      </c>
      <c r="T90" s="115">
        <v>300</v>
      </c>
      <c r="U90" s="115" t="s">
        <v>83</v>
      </c>
    </row>
    <row r="91" spans="1:21" x14ac:dyDescent="0.2">
      <c r="A91" s="127">
        <v>88</v>
      </c>
      <c r="B91" s="108" t="s">
        <v>70</v>
      </c>
      <c r="C91" s="109">
        <v>42095</v>
      </c>
      <c r="D91" s="109">
        <v>42125</v>
      </c>
      <c r="E91" s="132">
        <f t="shared" si="12"/>
        <v>42308</v>
      </c>
      <c r="F91" s="111">
        <v>750</v>
      </c>
      <c r="G91" s="111">
        <v>0</v>
      </c>
      <c r="H91" s="111">
        <v>101.5625</v>
      </c>
      <c r="I91" s="112"/>
      <c r="J91" s="111">
        <v>70.963541666666671</v>
      </c>
      <c r="K91" s="113" t="s">
        <v>54</v>
      </c>
      <c r="L91" s="114" t="s">
        <v>90</v>
      </c>
      <c r="M91" s="136">
        <f t="shared" si="13"/>
        <v>6</v>
      </c>
      <c r="N91" s="136">
        <f t="shared" si="14"/>
        <v>0</v>
      </c>
      <c r="O91" s="115" t="s">
        <v>69</v>
      </c>
      <c r="P91" s="148">
        <f t="shared" si="18"/>
        <v>431.69487847222223</v>
      </c>
      <c r="Q91" s="148">
        <f t="shared" si="15"/>
        <v>215.85</v>
      </c>
      <c r="R91" s="148">
        <f t="shared" si="17"/>
        <v>851.5625</v>
      </c>
      <c r="S91" s="148">
        <f t="shared" si="16"/>
        <v>215.85</v>
      </c>
      <c r="T91" s="115">
        <v>303</v>
      </c>
      <c r="U91" s="115" t="s">
        <v>83</v>
      </c>
    </row>
    <row r="92" spans="1:21" x14ac:dyDescent="0.2">
      <c r="A92" s="127">
        <v>89</v>
      </c>
      <c r="B92" s="108" t="s">
        <v>70</v>
      </c>
      <c r="C92" s="109">
        <v>42095</v>
      </c>
      <c r="D92" s="109">
        <v>42125</v>
      </c>
      <c r="E92" s="132">
        <f t="shared" si="12"/>
        <v>42308</v>
      </c>
      <c r="F92" s="111">
        <v>900</v>
      </c>
      <c r="G92" s="111">
        <v>0</v>
      </c>
      <c r="H92" s="111">
        <v>121.875</v>
      </c>
      <c r="I92" s="112"/>
      <c r="J92" s="111">
        <v>85.15625</v>
      </c>
      <c r="K92" s="113" t="s">
        <v>54</v>
      </c>
      <c r="L92" s="114" t="s">
        <v>90</v>
      </c>
      <c r="M92" s="136">
        <f t="shared" si="13"/>
        <v>6</v>
      </c>
      <c r="N92" s="136">
        <f t="shared" si="14"/>
        <v>0</v>
      </c>
      <c r="O92" s="115" t="s">
        <v>69</v>
      </c>
      <c r="P92" s="148">
        <f t="shared" si="18"/>
        <v>518.03385416666663</v>
      </c>
      <c r="Q92" s="148">
        <f t="shared" si="15"/>
        <v>259.02</v>
      </c>
      <c r="R92" s="148">
        <f t="shared" si="17"/>
        <v>1021.875</v>
      </c>
      <c r="S92" s="148">
        <f t="shared" si="16"/>
        <v>259.02</v>
      </c>
      <c r="T92" s="115">
        <v>304</v>
      </c>
      <c r="U92" s="115" t="s">
        <v>83</v>
      </c>
    </row>
    <row r="93" spans="1:21" x14ac:dyDescent="0.2">
      <c r="A93" s="127">
        <v>90</v>
      </c>
      <c r="B93" s="108" t="s">
        <v>70</v>
      </c>
      <c r="C93" s="109">
        <v>42095</v>
      </c>
      <c r="D93" s="109">
        <v>42125</v>
      </c>
      <c r="E93" s="132">
        <f t="shared" si="12"/>
        <v>42308</v>
      </c>
      <c r="F93" s="111">
        <v>900</v>
      </c>
      <c r="G93" s="111">
        <v>0</v>
      </c>
      <c r="H93" s="111">
        <v>121.875</v>
      </c>
      <c r="I93" s="112"/>
      <c r="J93" s="111">
        <v>85.15625</v>
      </c>
      <c r="K93" s="113" t="s">
        <v>54</v>
      </c>
      <c r="L93" s="114" t="s">
        <v>90</v>
      </c>
      <c r="M93" s="136">
        <f t="shared" si="13"/>
        <v>6</v>
      </c>
      <c r="N93" s="136">
        <f t="shared" si="14"/>
        <v>0</v>
      </c>
      <c r="O93" s="115" t="s">
        <v>69</v>
      </c>
      <c r="P93" s="148">
        <f t="shared" si="18"/>
        <v>518.03385416666663</v>
      </c>
      <c r="Q93" s="148">
        <f t="shared" si="15"/>
        <v>259.02</v>
      </c>
      <c r="R93" s="148">
        <f t="shared" si="17"/>
        <v>1021.875</v>
      </c>
      <c r="S93" s="148">
        <f t="shared" si="16"/>
        <v>259.02</v>
      </c>
      <c r="T93" s="115">
        <v>305</v>
      </c>
      <c r="U93" s="115" t="s">
        <v>83</v>
      </c>
    </row>
    <row r="94" spans="1:21" x14ac:dyDescent="0.2">
      <c r="A94" s="127">
        <v>91</v>
      </c>
      <c r="B94" s="108" t="s">
        <v>70</v>
      </c>
      <c r="C94" s="109">
        <v>42095</v>
      </c>
      <c r="D94" s="109">
        <v>42125</v>
      </c>
      <c r="E94" s="132">
        <f t="shared" si="12"/>
        <v>42308</v>
      </c>
      <c r="F94" s="111">
        <v>750</v>
      </c>
      <c r="G94" s="111">
        <v>0</v>
      </c>
      <c r="H94" s="111">
        <v>101.5625</v>
      </c>
      <c r="I94" s="112"/>
      <c r="J94" s="111">
        <v>70.963541666666671</v>
      </c>
      <c r="K94" s="113" t="s">
        <v>54</v>
      </c>
      <c r="L94" s="114" t="s">
        <v>90</v>
      </c>
      <c r="M94" s="136">
        <f t="shared" si="13"/>
        <v>6</v>
      </c>
      <c r="N94" s="136">
        <f t="shared" si="14"/>
        <v>0</v>
      </c>
      <c r="O94" s="115" t="s">
        <v>69</v>
      </c>
      <c r="P94" s="148">
        <f t="shared" si="18"/>
        <v>431.69487847222223</v>
      </c>
      <c r="Q94" s="148">
        <f t="shared" si="15"/>
        <v>215.85</v>
      </c>
      <c r="R94" s="148">
        <f t="shared" si="17"/>
        <v>851.5625</v>
      </c>
      <c r="S94" s="148">
        <f t="shared" si="16"/>
        <v>215.85</v>
      </c>
      <c r="T94" s="115">
        <v>306</v>
      </c>
      <c r="U94" s="115" t="s">
        <v>83</v>
      </c>
    </row>
    <row r="95" spans="1:21" x14ac:dyDescent="0.2">
      <c r="A95" s="127">
        <v>92</v>
      </c>
      <c r="B95" s="108" t="s">
        <v>70</v>
      </c>
      <c r="C95" s="109">
        <v>42101</v>
      </c>
      <c r="D95" s="109">
        <v>42125</v>
      </c>
      <c r="E95" s="132">
        <f t="shared" si="12"/>
        <v>42308</v>
      </c>
      <c r="F95" s="111">
        <v>1100</v>
      </c>
      <c r="G95" s="111">
        <v>0</v>
      </c>
      <c r="H95" s="111">
        <v>0</v>
      </c>
      <c r="I95" s="112"/>
      <c r="J95" s="111">
        <v>91.666666666666671</v>
      </c>
      <c r="K95" s="113" t="s">
        <v>54</v>
      </c>
      <c r="L95" s="114" t="s">
        <v>90</v>
      </c>
      <c r="M95" s="136">
        <f t="shared" si="13"/>
        <v>6</v>
      </c>
      <c r="N95" s="136">
        <f t="shared" si="14"/>
        <v>0</v>
      </c>
      <c r="O95" s="115" t="s">
        <v>69</v>
      </c>
      <c r="P95" s="148">
        <f t="shared" si="18"/>
        <v>557.63888888888891</v>
      </c>
      <c r="Q95" s="148">
        <f t="shared" si="15"/>
        <v>278.82</v>
      </c>
      <c r="R95" s="148">
        <f t="shared" si="17"/>
        <v>1100</v>
      </c>
      <c r="S95" s="148">
        <f t="shared" si="16"/>
        <v>278.82</v>
      </c>
      <c r="T95" s="115">
        <v>307</v>
      </c>
      <c r="U95" s="115" t="s">
        <v>83</v>
      </c>
    </row>
    <row r="96" spans="1:21" x14ac:dyDescent="0.2">
      <c r="A96" s="127">
        <v>93</v>
      </c>
      <c r="B96" s="108" t="s">
        <v>70</v>
      </c>
      <c r="C96" s="109">
        <v>42125</v>
      </c>
      <c r="D96" s="109">
        <v>42125</v>
      </c>
      <c r="E96" s="132">
        <f t="shared" ref="E96:E137" si="19">+EOMONTH(D96,5)</f>
        <v>42308</v>
      </c>
      <c r="F96" s="111">
        <v>850</v>
      </c>
      <c r="G96" s="111">
        <v>0</v>
      </c>
      <c r="H96" s="111">
        <v>115.10416666666666</v>
      </c>
      <c r="I96" s="112"/>
      <c r="J96" s="111">
        <v>81.76576967592591</v>
      </c>
      <c r="K96" s="113" t="s">
        <v>54</v>
      </c>
      <c r="L96" s="114" t="s">
        <v>90</v>
      </c>
      <c r="M96" s="136">
        <f t="shared" ref="M96:M137" si="20">IF(C96&gt;D96,QUOTIENT(DAYS360(C96,E96),30),6)</f>
        <v>6</v>
      </c>
      <c r="N96" s="136">
        <f t="shared" ref="N96:N137" si="21">IF(C96&gt;D96,MOD(DAYS360(C96,E96),30),0)</f>
        <v>0</v>
      </c>
      <c r="O96" s="115" t="s">
        <v>69</v>
      </c>
      <c r="P96" s="148">
        <f t="shared" si="18"/>
        <v>489.36589747299382</v>
      </c>
      <c r="Q96" s="148">
        <f t="shared" ref="Q96:Q137" si="22">ROUND(((P96/12)*M96)+((P96/12/30)*N96),2)</f>
        <v>244.68</v>
      </c>
      <c r="R96" s="148">
        <f t="shared" si="17"/>
        <v>965.10416666666663</v>
      </c>
      <c r="S96" s="148">
        <f t="shared" ref="S96:S131" si="23">ROUND(Q96,2)</f>
        <v>244.68</v>
      </c>
      <c r="T96" s="115">
        <v>308</v>
      </c>
      <c r="U96" s="115" t="s">
        <v>83</v>
      </c>
    </row>
    <row r="97" spans="1:21" x14ac:dyDescent="0.2">
      <c r="A97" s="127">
        <v>94</v>
      </c>
      <c r="B97" s="108" t="s">
        <v>70</v>
      </c>
      <c r="C97" s="109">
        <v>42125</v>
      </c>
      <c r="D97" s="109">
        <v>42125</v>
      </c>
      <c r="E97" s="132">
        <f t="shared" si="19"/>
        <v>42308</v>
      </c>
      <c r="F97" s="111">
        <v>800</v>
      </c>
      <c r="G97" s="111">
        <v>0</v>
      </c>
      <c r="H97" s="111">
        <v>108.33333333333334</v>
      </c>
      <c r="I97" s="112"/>
      <c r="J97" s="111">
        <v>76.956018518518519</v>
      </c>
      <c r="K97" s="113" t="s">
        <v>54</v>
      </c>
      <c r="L97" s="114" t="s">
        <v>90</v>
      </c>
      <c r="M97" s="136">
        <f t="shared" si="20"/>
        <v>6</v>
      </c>
      <c r="N97" s="136">
        <f t="shared" si="21"/>
        <v>0</v>
      </c>
      <c r="O97" s="115" t="s">
        <v>69</v>
      </c>
      <c r="P97" s="148">
        <f t="shared" si="18"/>
        <v>460.57966820987656</v>
      </c>
      <c r="Q97" s="148">
        <f t="shared" si="22"/>
        <v>230.29</v>
      </c>
      <c r="R97" s="148">
        <f t="shared" si="17"/>
        <v>908.33333333333337</v>
      </c>
      <c r="S97" s="148">
        <f t="shared" si="23"/>
        <v>230.29</v>
      </c>
      <c r="T97" s="115">
        <v>311</v>
      </c>
      <c r="U97" s="115" t="s">
        <v>83</v>
      </c>
    </row>
    <row r="98" spans="1:21" x14ac:dyDescent="0.2">
      <c r="A98" s="127">
        <v>95</v>
      </c>
      <c r="B98" s="108" t="s">
        <v>70</v>
      </c>
      <c r="C98" s="109">
        <v>42125</v>
      </c>
      <c r="D98" s="109">
        <v>42125</v>
      </c>
      <c r="E98" s="132">
        <f t="shared" si="19"/>
        <v>42308</v>
      </c>
      <c r="F98" s="111">
        <v>900</v>
      </c>
      <c r="G98" s="111">
        <v>0</v>
      </c>
      <c r="H98" s="111">
        <v>121.875</v>
      </c>
      <c r="I98" s="112"/>
      <c r="J98" s="111">
        <v>86.575520833333329</v>
      </c>
      <c r="K98" s="113" t="s">
        <v>54</v>
      </c>
      <c r="L98" s="114" t="s">
        <v>90</v>
      </c>
      <c r="M98" s="136">
        <f t="shared" si="20"/>
        <v>6</v>
      </c>
      <c r="N98" s="136">
        <f t="shared" si="21"/>
        <v>0</v>
      </c>
      <c r="O98" s="115" t="s">
        <v>69</v>
      </c>
      <c r="P98" s="148">
        <f t="shared" si="18"/>
        <v>518.15212673611109</v>
      </c>
      <c r="Q98" s="148">
        <f t="shared" si="22"/>
        <v>259.08</v>
      </c>
      <c r="R98" s="148">
        <f t="shared" si="17"/>
        <v>1021.875</v>
      </c>
      <c r="S98" s="148">
        <f t="shared" si="23"/>
        <v>259.08</v>
      </c>
      <c r="T98" s="115">
        <v>312</v>
      </c>
      <c r="U98" s="115" t="s">
        <v>83</v>
      </c>
    </row>
    <row r="99" spans="1:21" x14ac:dyDescent="0.2">
      <c r="A99" s="127">
        <v>96</v>
      </c>
      <c r="B99" s="108" t="s">
        <v>70</v>
      </c>
      <c r="C99" s="109">
        <v>42139</v>
      </c>
      <c r="D99" s="109">
        <v>42125</v>
      </c>
      <c r="E99" s="132">
        <f t="shared" si="19"/>
        <v>42308</v>
      </c>
      <c r="F99" s="111">
        <v>850</v>
      </c>
      <c r="G99" s="111">
        <v>0</v>
      </c>
      <c r="H99" s="111">
        <v>115.10416666666666</v>
      </c>
      <c r="I99" s="112"/>
      <c r="J99" s="111">
        <v>75.510464891975303</v>
      </c>
      <c r="K99" s="113" t="s">
        <v>54</v>
      </c>
      <c r="L99" s="114" t="s">
        <v>90</v>
      </c>
      <c r="M99" s="136">
        <f t="shared" si="20"/>
        <v>5</v>
      </c>
      <c r="N99" s="136">
        <f t="shared" si="21"/>
        <v>16</v>
      </c>
      <c r="O99" s="115" t="s">
        <v>69</v>
      </c>
      <c r="P99" s="148">
        <f t="shared" si="18"/>
        <v>488.84462207433126</v>
      </c>
      <c r="Q99" s="148">
        <f t="shared" si="22"/>
        <v>225.41</v>
      </c>
      <c r="R99" s="148">
        <f t="shared" si="17"/>
        <v>965.10416666666663</v>
      </c>
      <c r="S99" s="148">
        <f t="shared" si="23"/>
        <v>225.41</v>
      </c>
      <c r="T99" s="115">
        <v>313</v>
      </c>
      <c r="U99" s="115" t="s">
        <v>83</v>
      </c>
    </row>
    <row r="100" spans="1:21" x14ac:dyDescent="0.2">
      <c r="A100" s="127">
        <v>97</v>
      </c>
      <c r="B100" s="108" t="s">
        <v>70</v>
      </c>
      <c r="C100" s="109">
        <v>42139</v>
      </c>
      <c r="D100" s="109">
        <v>42125</v>
      </c>
      <c r="E100" s="132">
        <f t="shared" si="19"/>
        <v>42308</v>
      </c>
      <c r="F100" s="111">
        <v>950</v>
      </c>
      <c r="G100" s="111">
        <v>0</v>
      </c>
      <c r="H100" s="111">
        <v>128.64583333333334</v>
      </c>
      <c r="I100" s="112"/>
      <c r="J100" s="111">
        <v>84.394048996913583</v>
      </c>
      <c r="K100" s="113" t="s">
        <v>54</v>
      </c>
      <c r="L100" s="114" t="s">
        <v>90</v>
      </c>
      <c r="M100" s="136">
        <f t="shared" si="20"/>
        <v>5</v>
      </c>
      <c r="N100" s="136">
        <f t="shared" si="21"/>
        <v>16</v>
      </c>
      <c r="O100" s="115" t="s">
        <v>69</v>
      </c>
      <c r="P100" s="148">
        <f t="shared" si="18"/>
        <v>546.35575408307614</v>
      </c>
      <c r="Q100" s="148">
        <f t="shared" si="22"/>
        <v>251.93</v>
      </c>
      <c r="R100" s="148">
        <f t="shared" si="17"/>
        <v>1078.6458333333333</v>
      </c>
      <c r="S100" s="148">
        <f t="shared" si="23"/>
        <v>251.93</v>
      </c>
      <c r="T100" s="115">
        <v>314</v>
      </c>
      <c r="U100" s="115" t="s">
        <v>83</v>
      </c>
    </row>
    <row r="101" spans="1:21" x14ac:dyDescent="0.2">
      <c r="A101" s="127">
        <v>98</v>
      </c>
      <c r="B101" s="108" t="s">
        <v>70</v>
      </c>
      <c r="C101" s="109">
        <v>42156</v>
      </c>
      <c r="D101" s="109">
        <v>42125</v>
      </c>
      <c r="E101" s="132">
        <f t="shared" si="19"/>
        <v>42308</v>
      </c>
      <c r="F101" s="111">
        <v>900</v>
      </c>
      <c r="G101" s="111">
        <v>0</v>
      </c>
      <c r="H101" s="111">
        <v>121.875</v>
      </c>
      <c r="I101" s="112"/>
      <c r="J101" s="111">
        <v>71.909722222222214</v>
      </c>
      <c r="K101" s="113" t="s">
        <v>54</v>
      </c>
      <c r="L101" s="114" t="s">
        <v>90</v>
      </c>
      <c r="M101" s="136">
        <f t="shared" si="20"/>
        <v>5</v>
      </c>
      <c r="N101" s="136">
        <f t="shared" si="21"/>
        <v>0</v>
      </c>
      <c r="O101" s="115" t="s">
        <v>69</v>
      </c>
      <c r="P101" s="148">
        <f t="shared" si="18"/>
        <v>516.92997685185185</v>
      </c>
      <c r="Q101" s="148">
        <f t="shared" si="22"/>
        <v>215.39</v>
      </c>
      <c r="R101" s="148">
        <f t="shared" si="17"/>
        <v>1021.875</v>
      </c>
      <c r="S101" s="148">
        <f t="shared" si="23"/>
        <v>215.39</v>
      </c>
      <c r="T101" s="115">
        <v>315</v>
      </c>
      <c r="U101" s="115" t="s">
        <v>83</v>
      </c>
    </row>
    <row r="102" spans="1:21" x14ac:dyDescent="0.2">
      <c r="A102" s="127">
        <v>99</v>
      </c>
      <c r="B102" s="108" t="s">
        <v>70</v>
      </c>
      <c r="C102" s="109">
        <v>42156</v>
      </c>
      <c r="D102" s="109">
        <v>42125</v>
      </c>
      <c r="E102" s="132">
        <f t="shared" si="19"/>
        <v>42308</v>
      </c>
      <c r="F102" s="111">
        <v>750</v>
      </c>
      <c r="G102" s="111">
        <v>0</v>
      </c>
      <c r="H102" s="111">
        <v>101.5625</v>
      </c>
      <c r="I102" s="112"/>
      <c r="J102" s="111">
        <v>59.924768518518526</v>
      </c>
      <c r="K102" s="113" t="s">
        <v>54</v>
      </c>
      <c r="L102" s="114" t="s">
        <v>90</v>
      </c>
      <c r="M102" s="136">
        <f t="shared" si="20"/>
        <v>5</v>
      </c>
      <c r="N102" s="136">
        <f t="shared" si="21"/>
        <v>0</v>
      </c>
      <c r="O102" s="115" t="s">
        <v>69</v>
      </c>
      <c r="P102" s="148">
        <f t="shared" si="18"/>
        <v>430.77498070987656</v>
      </c>
      <c r="Q102" s="148">
        <f t="shared" si="22"/>
        <v>179.49</v>
      </c>
      <c r="R102" s="148">
        <f t="shared" si="17"/>
        <v>851.5625</v>
      </c>
      <c r="S102" s="148">
        <f t="shared" si="23"/>
        <v>179.49</v>
      </c>
      <c r="T102" s="115">
        <v>316</v>
      </c>
      <c r="U102" s="115" t="s">
        <v>83</v>
      </c>
    </row>
    <row r="103" spans="1:21" x14ac:dyDescent="0.2">
      <c r="A103" s="127">
        <v>100</v>
      </c>
      <c r="B103" s="108" t="s">
        <v>70</v>
      </c>
      <c r="C103" s="109">
        <v>42156</v>
      </c>
      <c r="D103" s="109">
        <v>42125</v>
      </c>
      <c r="E103" s="132">
        <f t="shared" si="19"/>
        <v>42308</v>
      </c>
      <c r="F103" s="111">
        <v>900</v>
      </c>
      <c r="G103" s="111">
        <v>0</v>
      </c>
      <c r="H103" s="111">
        <v>0</v>
      </c>
      <c r="I103" s="112"/>
      <c r="J103" s="111">
        <v>63.333333333333336</v>
      </c>
      <c r="K103" s="113" t="s">
        <v>54</v>
      </c>
      <c r="L103" s="114" t="s">
        <v>90</v>
      </c>
      <c r="M103" s="136">
        <f t="shared" si="20"/>
        <v>5</v>
      </c>
      <c r="N103" s="136">
        <f t="shared" si="21"/>
        <v>0</v>
      </c>
      <c r="O103" s="115" t="s">
        <v>69</v>
      </c>
      <c r="P103" s="148">
        <f t="shared" si="18"/>
        <v>455.27777777777777</v>
      </c>
      <c r="Q103" s="148">
        <f t="shared" si="22"/>
        <v>189.7</v>
      </c>
      <c r="R103" s="148">
        <f t="shared" si="17"/>
        <v>900</v>
      </c>
      <c r="S103" s="148">
        <f t="shared" si="23"/>
        <v>189.7</v>
      </c>
      <c r="T103" s="117">
        <v>317</v>
      </c>
      <c r="U103" s="115" t="s">
        <v>83</v>
      </c>
    </row>
    <row r="104" spans="1:21" x14ac:dyDescent="0.2">
      <c r="A104" s="127">
        <v>101</v>
      </c>
      <c r="B104" s="108" t="s">
        <v>70</v>
      </c>
      <c r="C104" s="109">
        <v>42186</v>
      </c>
      <c r="D104" s="109">
        <v>42125</v>
      </c>
      <c r="E104" s="132">
        <f t="shared" ref="E104:E121" si="24">+EOMONTH(D104,5)</f>
        <v>42308</v>
      </c>
      <c r="F104" s="111">
        <v>750</v>
      </c>
      <c r="G104" s="111">
        <v>0</v>
      </c>
      <c r="H104" s="111">
        <v>101.5625</v>
      </c>
      <c r="I104" s="112"/>
      <c r="J104" s="111">
        <v>48.097511574074076</v>
      </c>
      <c r="K104" s="113" t="s">
        <v>54</v>
      </c>
      <c r="L104" s="114" t="s">
        <v>90</v>
      </c>
      <c r="M104" s="136">
        <f t="shared" ref="M104:M121" si="25">IF(C104&gt;D104,QUOTIENT(DAYS360(C104,E104),30),6)</f>
        <v>4</v>
      </c>
      <c r="N104" s="136">
        <f t="shared" ref="N104:N121" si="26">IF(C104&gt;D104,MOD(DAYS360(C104,E104),30),0)</f>
        <v>0</v>
      </c>
      <c r="O104" s="115" t="s">
        <v>69</v>
      </c>
      <c r="P104" s="148">
        <f t="shared" si="18"/>
        <v>429.78937596450618</v>
      </c>
      <c r="Q104" s="148">
        <f t="shared" ref="Q104:Q121" si="27">ROUND(((P104/12)*M104)+((P104/12/30)*N104),2)</f>
        <v>143.26</v>
      </c>
      <c r="R104" s="148">
        <f t="shared" ref="R104:R121" si="28">SUM(F104:I104)</f>
        <v>851.5625</v>
      </c>
      <c r="S104" s="148">
        <f t="shared" ref="S104:S121" si="29">ROUND(Q104,2)</f>
        <v>143.26</v>
      </c>
      <c r="T104" s="115">
        <v>318</v>
      </c>
      <c r="U104" s="115" t="s">
        <v>83</v>
      </c>
    </row>
    <row r="105" spans="1:21" x14ac:dyDescent="0.2">
      <c r="A105" s="127">
        <v>102</v>
      </c>
      <c r="B105" s="108" t="s">
        <v>70</v>
      </c>
      <c r="C105" s="109">
        <v>42217</v>
      </c>
      <c r="D105" s="109">
        <v>42125</v>
      </c>
      <c r="E105" s="132">
        <f t="shared" si="24"/>
        <v>42308</v>
      </c>
      <c r="F105" s="111">
        <v>1100</v>
      </c>
      <c r="G105" s="111">
        <v>0</v>
      </c>
      <c r="H105" s="111">
        <v>148.95833333333331</v>
      </c>
      <c r="I105" s="112"/>
      <c r="J105" s="111">
        <v>52.618152006172835</v>
      </c>
      <c r="K105" s="113" t="s">
        <v>54</v>
      </c>
      <c r="L105" s="114" t="s">
        <v>90</v>
      </c>
      <c r="M105" s="136">
        <f t="shared" si="25"/>
        <v>3</v>
      </c>
      <c r="N105" s="136">
        <f t="shared" si="26"/>
        <v>0</v>
      </c>
      <c r="O105" s="115" t="s">
        <v>69</v>
      </c>
      <c r="P105" s="148">
        <f t="shared" si="18"/>
        <v>628.86401266718099</v>
      </c>
      <c r="Q105" s="148">
        <f t="shared" si="27"/>
        <v>157.22</v>
      </c>
      <c r="R105" s="148">
        <f t="shared" si="28"/>
        <v>1248.9583333333333</v>
      </c>
      <c r="S105" s="148">
        <f t="shared" si="29"/>
        <v>157.22</v>
      </c>
      <c r="T105" s="117">
        <v>319</v>
      </c>
      <c r="U105" s="115" t="s">
        <v>83</v>
      </c>
    </row>
    <row r="106" spans="1:21" x14ac:dyDescent="0.2">
      <c r="A106" s="127">
        <v>103</v>
      </c>
      <c r="B106" s="108" t="s">
        <v>70</v>
      </c>
      <c r="C106" s="109">
        <v>42217</v>
      </c>
      <c r="D106" s="109">
        <v>42125</v>
      </c>
      <c r="E106" s="132">
        <f t="shared" si="24"/>
        <v>42308</v>
      </c>
      <c r="F106" s="111">
        <v>750</v>
      </c>
      <c r="G106" s="111">
        <v>0</v>
      </c>
      <c r="H106" s="111">
        <v>101.5625</v>
      </c>
      <c r="I106" s="112"/>
      <c r="J106" s="111">
        <v>35.876012731481481</v>
      </c>
      <c r="K106" s="113" t="s">
        <v>54</v>
      </c>
      <c r="L106" s="114" t="s">
        <v>90</v>
      </c>
      <c r="M106" s="136">
        <f t="shared" si="25"/>
        <v>3</v>
      </c>
      <c r="N106" s="136">
        <f t="shared" si="26"/>
        <v>0</v>
      </c>
      <c r="O106" s="115" t="s">
        <v>69</v>
      </c>
      <c r="P106" s="148">
        <f t="shared" si="18"/>
        <v>428.77091772762344</v>
      </c>
      <c r="Q106" s="148">
        <f t="shared" si="27"/>
        <v>107.19</v>
      </c>
      <c r="R106" s="148">
        <f t="shared" si="28"/>
        <v>851.5625</v>
      </c>
      <c r="S106" s="148">
        <f t="shared" si="29"/>
        <v>107.19</v>
      </c>
      <c r="T106" s="115">
        <v>320</v>
      </c>
      <c r="U106" s="115" t="s">
        <v>83</v>
      </c>
    </row>
    <row r="107" spans="1:21" x14ac:dyDescent="0.2">
      <c r="A107" s="127">
        <v>104</v>
      </c>
      <c r="B107" s="108" t="s">
        <v>70</v>
      </c>
      <c r="C107" s="109">
        <v>42217</v>
      </c>
      <c r="D107" s="109">
        <v>42125</v>
      </c>
      <c r="E107" s="132">
        <f t="shared" si="24"/>
        <v>42308</v>
      </c>
      <c r="F107" s="111">
        <v>1100</v>
      </c>
      <c r="G107" s="111">
        <v>0</v>
      </c>
      <c r="H107" s="111">
        <v>148.95833333333331</v>
      </c>
      <c r="I107" s="112"/>
      <c r="J107" s="111">
        <v>52.618152006172835</v>
      </c>
      <c r="K107" s="113" t="s">
        <v>54</v>
      </c>
      <c r="L107" s="114" t="s">
        <v>90</v>
      </c>
      <c r="M107" s="136">
        <f t="shared" si="25"/>
        <v>3</v>
      </c>
      <c r="N107" s="136">
        <f t="shared" si="26"/>
        <v>0</v>
      </c>
      <c r="O107" s="115" t="s">
        <v>69</v>
      </c>
      <c r="P107" s="148">
        <f t="shared" si="18"/>
        <v>628.86401266718099</v>
      </c>
      <c r="Q107" s="148">
        <f t="shared" si="27"/>
        <v>157.22</v>
      </c>
      <c r="R107" s="148">
        <f t="shared" si="28"/>
        <v>1248.9583333333333</v>
      </c>
      <c r="S107" s="148">
        <f t="shared" si="29"/>
        <v>157.22</v>
      </c>
      <c r="T107" s="117">
        <v>321</v>
      </c>
      <c r="U107" s="115" t="s">
        <v>83</v>
      </c>
    </row>
    <row r="108" spans="1:21" x14ac:dyDescent="0.2">
      <c r="A108" s="127">
        <v>105</v>
      </c>
      <c r="B108" s="108" t="s">
        <v>70</v>
      </c>
      <c r="C108" s="109">
        <v>42217</v>
      </c>
      <c r="D108" s="109">
        <v>42125</v>
      </c>
      <c r="E108" s="132">
        <f t="shared" si="24"/>
        <v>42308</v>
      </c>
      <c r="F108" s="111">
        <v>1000</v>
      </c>
      <c r="G108" s="111">
        <v>0</v>
      </c>
      <c r="H108" s="111">
        <v>135.41666666666669</v>
      </c>
      <c r="I108" s="112"/>
      <c r="J108" s="111">
        <v>47.83468364197531</v>
      </c>
      <c r="K108" s="113" t="s">
        <v>54</v>
      </c>
      <c r="L108" s="114" t="s">
        <v>90</v>
      </c>
      <c r="M108" s="136">
        <f t="shared" si="25"/>
        <v>3</v>
      </c>
      <c r="N108" s="136">
        <f t="shared" si="26"/>
        <v>0</v>
      </c>
      <c r="O108" s="115" t="s">
        <v>69</v>
      </c>
      <c r="P108" s="148">
        <f t="shared" si="18"/>
        <v>571.69455697016463</v>
      </c>
      <c r="Q108" s="148">
        <f t="shared" si="27"/>
        <v>142.91999999999999</v>
      </c>
      <c r="R108" s="148">
        <f t="shared" si="28"/>
        <v>1135.4166666666667</v>
      </c>
      <c r="S108" s="148">
        <f t="shared" si="29"/>
        <v>142.91999999999999</v>
      </c>
      <c r="T108" s="115">
        <v>322</v>
      </c>
      <c r="U108" s="115" t="s">
        <v>83</v>
      </c>
    </row>
    <row r="109" spans="1:21" x14ac:dyDescent="0.2">
      <c r="A109" s="127">
        <v>106</v>
      </c>
      <c r="B109" s="108" t="s">
        <v>70</v>
      </c>
      <c r="C109" s="109">
        <v>42217</v>
      </c>
      <c r="D109" s="109">
        <v>42125</v>
      </c>
      <c r="E109" s="132">
        <f t="shared" si="24"/>
        <v>42308</v>
      </c>
      <c r="F109" s="111">
        <v>750</v>
      </c>
      <c r="G109" s="111">
        <v>0</v>
      </c>
      <c r="H109" s="111">
        <v>101.5625</v>
      </c>
      <c r="I109" s="112"/>
      <c r="J109" s="111">
        <v>35.876012731481481</v>
      </c>
      <c r="K109" s="113" t="s">
        <v>54</v>
      </c>
      <c r="L109" s="114" t="s">
        <v>90</v>
      </c>
      <c r="M109" s="136">
        <f t="shared" si="25"/>
        <v>3</v>
      </c>
      <c r="N109" s="136">
        <f t="shared" si="26"/>
        <v>0</v>
      </c>
      <c r="O109" s="115" t="s">
        <v>69</v>
      </c>
      <c r="P109" s="148">
        <f t="shared" si="18"/>
        <v>428.77091772762344</v>
      </c>
      <c r="Q109" s="148">
        <f t="shared" si="27"/>
        <v>107.19</v>
      </c>
      <c r="R109" s="148">
        <f t="shared" si="28"/>
        <v>851.5625</v>
      </c>
      <c r="S109" s="148">
        <f t="shared" si="29"/>
        <v>107.19</v>
      </c>
      <c r="T109" s="117">
        <v>323</v>
      </c>
      <c r="U109" s="115" t="s">
        <v>83</v>
      </c>
    </row>
    <row r="110" spans="1:21" x14ac:dyDescent="0.2">
      <c r="A110" s="127">
        <v>107</v>
      </c>
      <c r="B110" s="108" t="s">
        <v>70</v>
      </c>
      <c r="C110" s="109">
        <v>42248</v>
      </c>
      <c r="D110" s="109">
        <v>42125</v>
      </c>
      <c r="E110" s="132">
        <f t="shared" si="24"/>
        <v>42308</v>
      </c>
      <c r="F110" s="111">
        <v>750</v>
      </c>
      <c r="G110" s="111">
        <v>0</v>
      </c>
      <c r="H110" s="111">
        <v>101.5625</v>
      </c>
      <c r="I110" s="112"/>
      <c r="J110" s="111">
        <v>23.654513888888889</v>
      </c>
      <c r="K110" s="113" t="s">
        <v>54</v>
      </c>
      <c r="L110" s="114" t="s">
        <v>90</v>
      </c>
      <c r="M110" s="136">
        <f t="shared" si="25"/>
        <v>2</v>
      </c>
      <c r="N110" s="136">
        <f t="shared" si="26"/>
        <v>0</v>
      </c>
      <c r="O110" s="115" t="s">
        <v>69</v>
      </c>
      <c r="P110" s="148">
        <f t="shared" si="18"/>
        <v>427.75245949074076</v>
      </c>
      <c r="Q110" s="148">
        <f t="shared" si="27"/>
        <v>71.290000000000006</v>
      </c>
      <c r="R110" s="148">
        <f t="shared" si="28"/>
        <v>851.5625</v>
      </c>
      <c r="S110" s="148">
        <f t="shared" si="29"/>
        <v>71.290000000000006</v>
      </c>
      <c r="T110" s="115">
        <v>325</v>
      </c>
      <c r="U110" s="115" t="s">
        <v>83</v>
      </c>
    </row>
    <row r="111" spans="1:21" x14ac:dyDescent="0.2">
      <c r="A111" s="127">
        <v>108</v>
      </c>
      <c r="B111" s="108" t="s">
        <v>70</v>
      </c>
      <c r="C111" s="109">
        <v>42248</v>
      </c>
      <c r="D111" s="109">
        <v>42125</v>
      </c>
      <c r="E111" s="132">
        <f t="shared" si="24"/>
        <v>42308</v>
      </c>
      <c r="F111" s="111">
        <v>800</v>
      </c>
      <c r="G111" s="111">
        <v>0</v>
      </c>
      <c r="H111" s="111">
        <v>108.33333333333334</v>
      </c>
      <c r="I111" s="112"/>
      <c r="J111" s="111">
        <v>25.231481481481481</v>
      </c>
      <c r="K111" s="113" t="s">
        <v>54</v>
      </c>
      <c r="L111" s="114" t="s">
        <v>90</v>
      </c>
      <c r="M111" s="136">
        <f t="shared" si="25"/>
        <v>2</v>
      </c>
      <c r="N111" s="136">
        <f t="shared" si="26"/>
        <v>0</v>
      </c>
      <c r="O111" s="115" t="s">
        <v>69</v>
      </c>
      <c r="P111" s="148">
        <f t="shared" si="18"/>
        <v>456.26929012345681</v>
      </c>
      <c r="Q111" s="148">
        <f t="shared" si="27"/>
        <v>76.040000000000006</v>
      </c>
      <c r="R111" s="148">
        <f t="shared" si="28"/>
        <v>908.33333333333337</v>
      </c>
      <c r="S111" s="148">
        <f t="shared" si="29"/>
        <v>76.040000000000006</v>
      </c>
      <c r="T111" s="117">
        <v>326</v>
      </c>
      <c r="U111" s="115" t="s">
        <v>83</v>
      </c>
    </row>
    <row r="112" spans="1:21" x14ac:dyDescent="0.2">
      <c r="A112" s="127">
        <v>109</v>
      </c>
      <c r="B112" s="108" t="s">
        <v>70</v>
      </c>
      <c r="C112" s="109">
        <v>42248</v>
      </c>
      <c r="D112" s="109">
        <v>42125</v>
      </c>
      <c r="E112" s="132">
        <f t="shared" si="24"/>
        <v>42308</v>
      </c>
      <c r="F112" s="111">
        <v>750</v>
      </c>
      <c r="G112" s="111">
        <v>0</v>
      </c>
      <c r="H112" s="111">
        <v>101.5625</v>
      </c>
      <c r="I112" s="112"/>
      <c r="J112" s="111">
        <v>23.654513888888889</v>
      </c>
      <c r="K112" s="113" t="s">
        <v>54</v>
      </c>
      <c r="L112" s="114" t="s">
        <v>90</v>
      </c>
      <c r="M112" s="136">
        <f t="shared" si="25"/>
        <v>2</v>
      </c>
      <c r="N112" s="136">
        <f t="shared" si="26"/>
        <v>0</v>
      </c>
      <c r="O112" s="115" t="s">
        <v>69</v>
      </c>
      <c r="P112" s="148">
        <f t="shared" si="18"/>
        <v>427.75245949074076</v>
      </c>
      <c r="Q112" s="148">
        <f t="shared" si="27"/>
        <v>71.290000000000006</v>
      </c>
      <c r="R112" s="148">
        <f t="shared" si="28"/>
        <v>851.5625</v>
      </c>
      <c r="S112" s="148">
        <f t="shared" si="29"/>
        <v>71.290000000000006</v>
      </c>
      <c r="T112" s="115">
        <v>327</v>
      </c>
      <c r="U112" s="115" t="s">
        <v>83</v>
      </c>
    </row>
    <row r="113" spans="1:21" x14ac:dyDescent="0.2">
      <c r="A113" s="127">
        <v>110</v>
      </c>
      <c r="B113" s="108" t="s">
        <v>70</v>
      </c>
      <c r="C113" s="109">
        <v>42248</v>
      </c>
      <c r="D113" s="109">
        <v>42125</v>
      </c>
      <c r="E113" s="132">
        <f t="shared" si="24"/>
        <v>42308</v>
      </c>
      <c r="F113" s="111">
        <v>750</v>
      </c>
      <c r="G113" s="111">
        <v>0</v>
      </c>
      <c r="H113" s="111">
        <v>101.5625</v>
      </c>
      <c r="I113" s="112"/>
      <c r="J113" s="111">
        <v>23.654513888888889</v>
      </c>
      <c r="K113" s="113" t="s">
        <v>54</v>
      </c>
      <c r="L113" s="114" t="s">
        <v>90</v>
      </c>
      <c r="M113" s="136">
        <f t="shared" si="25"/>
        <v>2</v>
      </c>
      <c r="N113" s="136">
        <f t="shared" si="26"/>
        <v>0</v>
      </c>
      <c r="O113" s="115" t="s">
        <v>69</v>
      </c>
      <c r="P113" s="148">
        <f t="shared" si="18"/>
        <v>427.75245949074076</v>
      </c>
      <c r="Q113" s="148">
        <f t="shared" si="27"/>
        <v>71.290000000000006</v>
      </c>
      <c r="R113" s="148">
        <f t="shared" si="28"/>
        <v>851.5625</v>
      </c>
      <c r="S113" s="148">
        <f t="shared" si="29"/>
        <v>71.290000000000006</v>
      </c>
      <c r="T113" s="117">
        <v>330</v>
      </c>
      <c r="U113" s="115" t="s">
        <v>83</v>
      </c>
    </row>
    <row r="114" spans="1:21" x14ac:dyDescent="0.2">
      <c r="A114" s="127">
        <v>111</v>
      </c>
      <c r="B114" s="108" t="s">
        <v>70</v>
      </c>
      <c r="C114" s="109">
        <v>42248</v>
      </c>
      <c r="D114" s="109">
        <v>42125</v>
      </c>
      <c r="E114" s="132">
        <f t="shared" si="24"/>
        <v>42308</v>
      </c>
      <c r="F114" s="111">
        <v>750</v>
      </c>
      <c r="G114" s="111">
        <v>0</v>
      </c>
      <c r="H114" s="111">
        <v>101.5625</v>
      </c>
      <c r="I114" s="112"/>
      <c r="J114" s="111">
        <v>23.654513888888889</v>
      </c>
      <c r="K114" s="113" t="s">
        <v>54</v>
      </c>
      <c r="L114" s="114" t="s">
        <v>90</v>
      </c>
      <c r="M114" s="136">
        <f t="shared" si="25"/>
        <v>2</v>
      </c>
      <c r="N114" s="136">
        <f t="shared" si="26"/>
        <v>0</v>
      </c>
      <c r="O114" s="115" t="s">
        <v>69</v>
      </c>
      <c r="P114" s="148">
        <f t="shared" si="18"/>
        <v>427.75245949074076</v>
      </c>
      <c r="Q114" s="148">
        <f t="shared" si="27"/>
        <v>71.290000000000006</v>
      </c>
      <c r="R114" s="148">
        <f t="shared" si="28"/>
        <v>851.5625</v>
      </c>
      <c r="S114" s="148">
        <f t="shared" si="29"/>
        <v>71.290000000000006</v>
      </c>
      <c r="T114" s="115">
        <v>331</v>
      </c>
      <c r="U114" s="115" t="s">
        <v>83</v>
      </c>
    </row>
    <row r="115" spans="1:21" x14ac:dyDescent="0.2">
      <c r="A115" s="127">
        <v>112</v>
      </c>
      <c r="B115" s="108" t="s">
        <v>70</v>
      </c>
      <c r="C115" s="109">
        <v>42248</v>
      </c>
      <c r="D115" s="109">
        <v>42125</v>
      </c>
      <c r="E115" s="132">
        <f t="shared" si="24"/>
        <v>42308</v>
      </c>
      <c r="F115" s="111">
        <v>750</v>
      </c>
      <c r="G115" s="111">
        <v>0</v>
      </c>
      <c r="H115" s="111">
        <v>101.5625</v>
      </c>
      <c r="I115" s="112"/>
      <c r="J115" s="111">
        <v>23.654513888888889</v>
      </c>
      <c r="K115" s="113" t="s">
        <v>54</v>
      </c>
      <c r="L115" s="114" t="s">
        <v>90</v>
      </c>
      <c r="M115" s="136">
        <f t="shared" si="25"/>
        <v>2</v>
      </c>
      <c r="N115" s="136">
        <f t="shared" si="26"/>
        <v>0</v>
      </c>
      <c r="O115" s="115" t="s">
        <v>69</v>
      </c>
      <c r="P115" s="148">
        <f t="shared" si="18"/>
        <v>427.75245949074076</v>
      </c>
      <c r="Q115" s="148">
        <f t="shared" si="27"/>
        <v>71.290000000000006</v>
      </c>
      <c r="R115" s="148">
        <f t="shared" si="28"/>
        <v>851.5625</v>
      </c>
      <c r="S115" s="148">
        <f t="shared" si="29"/>
        <v>71.290000000000006</v>
      </c>
      <c r="T115" s="117">
        <v>333</v>
      </c>
      <c r="U115" s="115" t="s">
        <v>83</v>
      </c>
    </row>
    <row r="116" spans="1:21" x14ac:dyDescent="0.2">
      <c r="A116" s="127">
        <v>113</v>
      </c>
      <c r="B116" s="108" t="s">
        <v>70</v>
      </c>
      <c r="C116" s="109">
        <v>42248</v>
      </c>
      <c r="D116" s="109">
        <v>42125</v>
      </c>
      <c r="E116" s="132">
        <f t="shared" si="24"/>
        <v>42308</v>
      </c>
      <c r="F116" s="111">
        <v>850</v>
      </c>
      <c r="G116" s="111">
        <v>0</v>
      </c>
      <c r="H116" s="111">
        <v>115.10416666666666</v>
      </c>
      <c r="I116" s="112"/>
      <c r="J116" s="111">
        <v>26.808449074074073</v>
      </c>
      <c r="K116" s="113" t="s">
        <v>54</v>
      </c>
      <c r="L116" s="114" t="s">
        <v>90</v>
      </c>
      <c r="M116" s="136">
        <f t="shared" si="25"/>
        <v>2</v>
      </c>
      <c r="N116" s="136">
        <f t="shared" si="26"/>
        <v>0</v>
      </c>
      <c r="O116" s="115" t="s">
        <v>69</v>
      </c>
      <c r="P116" s="148">
        <f t="shared" si="18"/>
        <v>484.78612075617281</v>
      </c>
      <c r="Q116" s="148">
        <f t="shared" si="27"/>
        <v>80.8</v>
      </c>
      <c r="R116" s="148">
        <f t="shared" si="28"/>
        <v>965.10416666666663</v>
      </c>
      <c r="S116" s="148">
        <f t="shared" si="29"/>
        <v>80.8</v>
      </c>
      <c r="T116" s="115">
        <v>335</v>
      </c>
      <c r="U116" s="115" t="s">
        <v>83</v>
      </c>
    </row>
    <row r="117" spans="1:21" x14ac:dyDescent="0.2">
      <c r="A117" s="127">
        <v>114</v>
      </c>
      <c r="B117" s="108" t="s">
        <v>70</v>
      </c>
      <c r="C117" s="109">
        <v>42248</v>
      </c>
      <c r="D117" s="109">
        <v>42125</v>
      </c>
      <c r="E117" s="132">
        <f t="shared" si="24"/>
        <v>42308</v>
      </c>
      <c r="F117" s="111">
        <v>750</v>
      </c>
      <c r="G117" s="111">
        <v>0</v>
      </c>
      <c r="H117" s="111">
        <v>101.5625</v>
      </c>
      <c r="I117" s="112"/>
      <c r="J117" s="111">
        <v>23.654513888888889</v>
      </c>
      <c r="K117" s="113" t="s">
        <v>54</v>
      </c>
      <c r="L117" s="114" t="s">
        <v>90</v>
      </c>
      <c r="M117" s="136">
        <f t="shared" si="25"/>
        <v>2</v>
      </c>
      <c r="N117" s="136">
        <f t="shared" si="26"/>
        <v>0</v>
      </c>
      <c r="O117" s="115" t="s">
        <v>69</v>
      </c>
      <c r="P117" s="148">
        <f t="shared" si="18"/>
        <v>427.75245949074076</v>
      </c>
      <c r="Q117" s="148">
        <f t="shared" si="27"/>
        <v>71.290000000000006</v>
      </c>
      <c r="R117" s="148">
        <f t="shared" si="28"/>
        <v>851.5625</v>
      </c>
      <c r="S117" s="148">
        <f t="shared" si="29"/>
        <v>71.290000000000006</v>
      </c>
      <c r="T117" s="117">
        <v>336</v>
      </c>
      <c r="U117" s="115" t="s">
        <v>83</v>
      </c>
    </row>
    <row r="118" spans="1:21" x14ac:dyDescent="0.2">
      <c r="A118" s="127">
        <v>115</v>
      </c>
      <c r="B118" s="108" t="s">
        <v>70</v>
      </c>
      <c r="C118" s="109">
        <v>42248</v>
      </c>
      <c r="D118" s="109">
        <v>42125</v>
      </c>
      <c r="E118" s="132">
        <f t="shared" si="24"/>
        <v>42308</v>
      </c>
      <c r="F118" s="111">
        <v>850</v>
      </c>
      <c r="G118" s="111">
        <v>0</v>
      </c>
      <c r="H118" s="111">
        <v>115.10416666666666</v>
      </c>
      <c r="I118" s="112"/>
      <c r="J118" s="111">
        <v>26.808449074074073</v>
      </c>
      <c r="K118" s="113" t="s">
        <v>54</v>
      </c>
      <c r="L118" s="114" t="s">
        <v>90</v>
      </c>
      <c r="M118" s="136">
        <f t="shared" si="25"/>
        <v>2</v>
      </c>
      <c r="N118" s="136">
        <f t="shared" si="26"/>
        <v>0</v>
      </c>
      <c r="O118" s="115" t="s">
        <v>69</v>
      </c>
      <c r="P118" s="148">
        <f t="shared" si="18"/>
        <v>484.78612075617281</v>
      </c>
      <c r="Q118" s="148">
        <f t="shared" si="27"/>
        <v>80.8</v>
      </c>
      <c r="R118" s="148">
        <f t="shared" si="28"/>
        <v>965.10416666666663</v>
      </c>
      <c r="S118" s="148">
        <f t="shared" si="29"/>
        <v>80.8</v>
      </c>
      <c r="T118" s="115">
        <v>337</v>
      </c>
      <c r="U118" s="115" t="s">
        <v>83</v>
      </c>
    </row>
    <row r="119" spans="1:21" x14ac:dyDescent="0.2">
      <c r="A119" s="127">
        <v>116</v>
      </c>
      <c r="B119" s="108" t="s">
        <v>70</v>
      </c>
      <c r="C119" s="109">
        <v>42248</v>
      </c>
      <c r="D119" s="109">
        <v>42125</v>
      </c>
      <c r="E119" s="132">
        <f t="shared" si="24"/>
        <v>42308</v>
      </c>
      <c r="F119" s="111">
        <v>750</v>
      </c>
      <c r="G119" s="111">
        <v>0</v>
      </c>
      <c r="H119" s="111">
        <v>101.5625</v>
      </c>
      <c r="I119" s="112"/>
      <c r="J119" s="111">
        <v>23.654513888888889</v>
      </c>
      <c r="K119" s="113" t="s">
        <v>54</v>
      </c>
      <c r="L119" s="114" t="s">
        <v>90</v>
      </c>
      <c r="M119" s="136">
        <f t="shared" si="25"/>
        <v>2</v>
      </c>
      <c r="N119" s="136">
        <f t="shared" si="26"/>
        <v>0</v>
      </c>
      <c r="O119" s="115" t="s">
        <v>69</v>
      </c>
      <c r="P119" s="148">
        <f t="shared" si="18"/>
        <v>427.75245949074076</v>
      </c>
      <c r="Q119" s="148">
        <f t="shared" si="27"/>
        <v>71.290000000000006</v>
      </c>
      <c r="R119" s="148">
        <f t="shared" si="28"/>
        <v>851.5625</v>
      </c>
      <c r="S119" s="148">
        <f t="shared" si="29"/>
        <v>71.290000000000006</v>
      </c>
      <c r="T119" s="117">
        <v>338</v>
      </c>
      <c r="U119" s="115" t="s">
        <v>83</v>
      </c>
    </row>
    <row r="120" spans="1:21" x14ac:dyDescent="0.2">
      <c r="A120" s="127">
        <v>117</v>
      </c>
      <c r="B120" s="108" t="s">
        <v>70</v>
      </c>
      <c r="C120" s="109">
        <v>42248</v>
      </c>
      <c r="D120" s="109">
        <v>42125</v>
      </c>
      <c r="E120" s="132">
        <f t="shared" si="24"/>
        <v>42308</v>
      </c>
      <c r="F120" s="111">
        <v>750</v>
      </c>
      <c r="G120" s="111">
        <v>0</v>
      </c>
      <c r="H120" s="111">
        <v>101.5625</v>
      </c>
      <c r="I120" s="112"/>
      <c r="J120" s="111">
        <v>23.654513888888889</v>
      </c>
      <c r="K120" s="113" t="s">
        <v>54</v>
      </c>
      <c r="L120" s="114" t="s">
        <v>90</v>
      </c>
      <c r="M120" s="136">
        <f t="shared" si="25"/>
        <v>2</v>
      </c>
      <c r="N120" s="136">
        <f t="shared" si="26"/>
        <v>0</v>
      </c>
      <c r="O120" s="115" t="s">
        <v>69</v>
      </c>
      <c r="P120" s="148">
        <f t="shared" si="18"/>
        <v>427.75245949074076</v>
      </c>
      <c r="Q120" s="148">
        <f t="shared" si="27"/>
        <v>71.290000000000006</v>
      </c>
      <c r="R120" s="148">
        <f t="shared" si="28"/>
        <v>851.5625</v>
      </c>
      <c r="S120" s="148">
        <f t="shared" si="29"/>
        <v>71.290000000000006</v>
      </c>
      <c r="T120" s="115">
        <v>339</v>
      </c>
      <c r="U120" s="115" t="s">
        <v>83</v>
      </c>
    </row>
    <row r="121" spans="1:21" x14ac:dyDescent="0.2">
      <c r="A121" s="127">
        <v>118</v>
      </c>
      <c r="B121" s="108" t="s">
        <v>70</v>
      </c>
      <c r="C121" s="109">
        <v>42278</v>
      </c>
      <c r="D121" s="109">
        <v>42125</v>
      </c>
      <c r="E121" s="132">
        <f t="shared" si="24"/>
        <v>42308</v>
      </c>
      <c r="F121" s="111">
        <v>750</v>
      </c>
      <c r="G121" s="111">
        <v>0</v>
      </c>
      <c r="H121" s="111">
        <v>101.5625</v>
      </c>
      <c r="I121" s="112"/>
      <c r="J121" s="111">
        <v>11.827256944444445</v>
      </c>
      <c r="K121" s="113" t="s">
        <v>54</v>
      </c>
      <c r="L121" s="114" t="s">
        <v>90</v>
      </c>
      <c r="M121" s="136">
        <f t="shared" si="25"/>
        <v>1</v>
      </c>
      <c r="N121" s="136">
        <f t="shared" si="26"/>
        <v>0</v>
      </c>
      <c r="O121" s="115" t="s">
        <v>69</v>
      </c>
      <c r="P121" s="148">
        <f t="shared" si="18"/>
        <v>426.76685474537038</v>
      </c>
      <c r="Q121" s="148">
        <f t="shared" si="27"/>
        <v>35.56</v>
      </c>
      <c r="R121" s="148">
        <f t="shared" si="28"/>
        <v>851.5625</v>
      </c>
      <c r="S121" s="148">
        <f t="shared" si="29"/>
        <v>35.56</v>
      </c>
      <c r="T121" s="117">
        <v>340</v>
      </c>
      <c r="U121" s="115" t="s">
        <v>83</v>
      </c>
    </row>
    <row r="122" spans="1:21" x14ac:dyDescent="0.2">
      <c r="A122" s="127">
        <v>119</v>
      </c>
      <c r="B122" s="108" t="s">
        <v>70</v>
      </c>
      <c r="C122" s="109">
        <v>42278</v>
      </c>
      <c r="D122" s="109">
        <v>42125</v>
      </c>
      <c r="E122" s="132">
        <f t="shared" ref="E122:E127" si="30">+EOMONTH(D122,5)</f>
        <v>42308</v>
      </c>
      <c r="F122" s="111">
        <v>850</v>
      </c>
      <c r="G122" s="111">
        <v>0</v>
      </c>
      <c r="H122" s="111">
        <v>115.10416666666666</v>
      </c>
      <c r="I122" s="112"/>
      <c r="J122" s="111">
        <v>13.404224537037036</v>
      </c>
      <c r="K122" s="113" t="s">
        <v>54</v>
      </c>
      <c r="L122" s="114" t="s">
        <v>90</v>
      </c>
      <c r="M122" s="136">
        <f t="shared" ref="M122:M127" si="31">IF(C122&gt;D122,QUOTIENT(DAYS360(C122,E122),30),6)</f>
        <v>1</v>
      </c>
      <c r="N122" s="136">
        <f t="shared" ref="N122:N127" si="32">IF(C122&gt;D122,MOD(DAYS360(C122,E122),30),0)</f>
        <v>0</v>
      </c>
      <c r="O122" s="115" t="s">
        <v>69</v>
      </c>
      <c r="P122" s="148">
        <f t="shared" si="18"/>
        <v>483.66910204475306</v>
      </c>
      <c r="Q122" s="148">
        <f t="shared" ref="Q122:Q127" si="33">ROUND(((P122/12)*M122)+((P122/12/30)*N122),2)</f>
        <v>40.31</v>
      </c>
      <c r="R122" s="148">
        <f t="shared" ref="R122:R127" si="34">SUM(F122:I122)</f>
        <v>965.10416666666663</v>
      </c>
      <c r="S122" s="148">
        <f t="shared" ref="S122:S127" si="35">ROUND(Q122,2)</f>
        <v>40.31</v>
      </c>
      <c r="T122" s="115">
        <v>341</v>
      </c>
      <c r="U122" s="115" t="s">
        <v>83</v>
      </c>
    </row>
    <row r="123" spans="1:21" x14ac:dyDescent="0.2">
      <c r="A123" s="127">
        <v>120</v>
      </c>
      <c r="B123" s="108" t="s">
        <v>70</v>
      </c>
      <c r="C123" s="109">
        <v>42278</v>
      </c>
      <c r="D123" s="109">
        <v>42125</v>
      </c>
      <c r="E123" s="132">
        <f t="shared" si="30"/>
        <v>42308</v>
      </c>
      <c r="F123" s="111">
        <v>750</v>
      </c>
      <c r="G123" s="111">
        <v>0</v>
      </c>
      <c r="H123" s="111">
        <v>101.5625</v>
      </c>
      <c r="I123" s="112"/>
      <c r="J123" s="111">
        <v>11.827256944444445</v>
      </c>
      <c r="K123" s="113" t="s">
        <v>54</v>
      </c>
      <c r="L123" s="114" t="s">
        <v>90</v>
      </c>
      <c r="M123" s="136">
        <f t="shared" si="31"/>
        <v>1</v>
      </c>
      <c r="N123" s="136">
        <f t="shared" si="32"/>
        <v>0</v>
      </c>
      <c r="O123" s="115" t="s">
        <v>69</v>
      </c>
      <c r="P123" s="148">
        <f t="shared" si="18"/>
        <v>426.76685474537038</v>
      </c>
      <c r="Q123" s="148">
        <f t="shared" si="33"/>
        <v>35.56</v>
      </c>
      <c r="R123" s="148">
        <f t="shared" si="34"/>
        <v>851.5625</v>
      </c>
      <c r="S123" s="148">
        <f t="shared" si="35"/>
        <v>35.56</v>
      </c>
      <c r="T123" s="117">
        <v>342</v>
      </c>
      <c r="U123" s="115" t="s">
        <v>83</v>
      </c>
    </row>
    <row r="124" spans="1:21" x14ac:dyDescent="0.2">
      <c r="A124" s="127">
        <v>121</v>
      </c>
      <c r="B124" s="108" t="s">
        <v>70</v>
      </c>
      <c r="C124" s="109">
        <v>42278</v>
      </c>
      <c r="D124" s="109">
        <v>42125</v>
      </c>
      <c r="E124" s="132">
        <f t="shared" si="30"/>
        <v>42308</v>
      </c>
      <c r="F124" s="111">
        <v>750</v>
      </c>
      <c r="G124" s="111">
        <v>0</v>
      </c>
      <c r="H124" s="111">
        <v>101.5625</v>
      </c>
      <c r="I124" s="112"/>
      <c r="J124" s="111">
        <v>11.827256944444445</v>
      </c>
      <c r="K124" s="113" t="s">
        <v>54</v>
      </c>
      <c r="L124" s="114" t="s">
        <v>90</v>
      </c>
      <c r="M124" s="136">
        <f t="shared" si="31"/>
        <v>1</v>
      </c>
      <c r="N124" s="136">
        <f t="shared" si="32"/>
        <v>0</v>
      </c>
      <c r="O124" s="115" t="s">
        <v>69</v>
      </c>
      <c r="P124" s="148">
        <f t="shared" si="18"/>
        <v>426.76685474537038</v>
      </c>
      <c r="Q124" s="148">
        <f t="shared" si="33"/>
        <v>35.56</v>
      </c>
      <c r="R124" s="148">
        <f t="shared" si="34"/>
        <v>851.5625</v>
      </c>
      <c r="S124" s="148">
        <f t="shared" si="35"/>
        <v>35.56</v>
      </c>
      <c r="T124" s="115">
        <v>343</v>
      </c>
      <c r="U124" s="115" t="s">
        <v>83</v>
      </c>
    </row>
    <row r="125" spans="1:21" x14ac:dyDescent="0.2">
      <c r="A125" s="127">
        <v>125</v>
      </c>
      <c r="B125" s="108" t="s">
        <v>70</v>
      </c>
      <c r="C125" s="109">
        <v>42278</v>
      </c>
      <c r="D125" s="109">
        <v>42125</v>
      </c>
      <c r="E125" s="132">
        <f t="shared" si="30"/>
        <v>42308</v>
      </c>
      <c r="F125" s="111">
        <v>850</v>
      </c>
      <c r="G125" s="111">
        <v>0</v>
      </c>
      <c r="H125" s="111">
        <v>115.10416666666666</v>
      </c>
      <c r="I125" s="112"/>
      <c r="J125" s="111">
        <v>13.404224537037036</v>
      </c>
      <c r="K125" s="113" t="s">
        <v>54</v>
      </c>
      <c r="L125" s="114" t="s">
        <v>90</v>
      </c>
      <c r="M125" s="136">
        <f t="shared" si="31"/>
        <v>1</v>
      </c>
      <c r="N125" s="136">
        <f t="shared" si="32"/>
        <v>0</v>
      </c>
      <c r="O125" s="115" t="s">
        <v>69</v>
      </c>
      <c r="P125" s="148">
        <f t="shared" si="18"/>
        <v>483.66910204475306</v>
      </c>
      <c r="Q125" s="148">
        <f t="shared" si="33"/>
        <v>40.31</v>
      </c>
      <c r="R125" s="148">
        <f t="shared" si="34"/>
        <v>965.10416666666663</v>
      </c>
      <c r="S125" s="148">
        <f t="shared" si="35"/>
        <v>40.31</v>
      </c>
      <c r="T125" s="115">
        <v>346</v>
      </c>
      <c r="U125" s="115" t="s">
        <v>83</v>
      </c>
    </row>
    <row r="126" spans="1:21" x14ac:dyDescent="0.2">
      <c r="A126" s="127">
        <v>126</v>
      </c>
      <c r="B126" s="108" t="s">
        <v>70</v>
      </c>
      <c r="C126" s="109">
        <v>42278</v>
      </c>
      <c r="D126" s="109">
        <v>42125</v>
      </c>
      <c r="E126" s="132">
        <f t="shared" si="30"/>
        <v>42308</v>
      </c>
      <c r="F126" s="111">
        <v>750</v>
      </c>
      <c r="G126" s="111">
        <v>0</v>
      </c>
      <c r="H126" s="111">
        <v>101.5625</v>
      </c>
      <c r="I126" s="112"/>
      <c r="J126" s="111">
        <v>11.827256944444445</v>
      </c>
      <c r="K126" s="113" t="s">
        <v>54</v>
      </c>
      <c r="L126" s="114" t="s">
        <v>90</v>
      </c>
      <c r="M126" s="136">
        <f t="shared" si="31"/>
        <v>1</v>
      </c>
      <c r="N126" s="136">
        <f t="shared" si="32"/>
        <v>0</v>
      </c>
      <c r="O126" s="115" t="s">
        <v>69</v>
      </c>
      <c r="P126" s="148">
        <f t="shared" si="18"/>
        <v>426.76685474537038</v>
      </c>
      <c r="Q126" s="148">
        <f t="shared" si="33"/>
        <v>35.56</v>
      </c>
      <c r="R126" s="148">
        <f t="shared" si="34"/>
        <v>851.5625</v>
      </c>
      <c r="S126" s="148">
        <f t="shared" si="35"/>
        <v>35.56</v>
      </c>
      <c r="T126" s="115">
        <v>347</v>
      </c>
      <c r="U126" s="115" t="s">
        <v>83</v>
      </c>
    </row>
    <row r="127" spans="1:21" x14ac:dyDescent="0.2">
      <c r="A127" s="127">
        <v>128</v>
      </c>
      <c r="B127" s="108" t="s">
        <v>70</v>
      </c>
      <c r="C127" s="109">
        <v>42278</v>
      </c>
      <c r="D127" s="109">
        <v>42125</v>
      </c>
      <c r="E127" s="132">
        <f t="shared" si="30"/>
        <v>42308</v>
      </c>
      <c r="F127" s="111">
        <v>750</v>
      </c>
      <c r="G127" s="111">
        <v>0</v>
      </c>
      <c r="H127" s="111">
        <v>101.5625</v>
      </c>
      <c r="I127" s="112"/>
      <c r="J127" s="111">
        <v>11.827256944444445</v>
      </c>
      <c r="K127" s="113" t="s">
        <v>54</v>
      </c>
      <c r="L127" s="114" t="s">
        <v>90</v>
      </c>
      <c r="M127" s="136">
        <f t="shared" si="31"/>
        <v>1</v>
      </c>
      <c r="N127" s="136">
        <f t="shared" si="32"/>
        <v>0</v>
      </c>
      <c r="O127" s="115" t="s">
        <v>69</v>
      </c>
      <c r="P127" s="148">
        <f t="shared" si="18"/>
        <v>426.76685474537038</v>
      </c>
      <c r="Q127" s="148">
        <f t="shared" si="33"/>
        <v>35.56</v>
      </c>
      <c r="R127" s="148">
        <f t="shared" si="34"/>
        <v>851.5625</v>
      </c>
      <c r="S127" s="148">
        <f t="shared" si="35"/>
        <v>35.56</v>
      </c>
      <c r="T127" s="115">
        <v>349</v>
      </c>
      <c r="U127" s="115" t="s">
        <v>83</v>
      </c>
    </row>
    <row r="128" spans="1:21" x14ac:dyDescent="0.2">
      <c r="A128" s="127">
        <v>129</v>
      </c>
      <c r="B128" s="108" t="s">
        <v>70</v>
      </c>
      <c r="C128" s="109">
        <v>42278</v>
      </c>
      <c r="D128" s="109">
        <v>42125</v>
      </c>
      <c r="E128" s="132">
        <f>+EOMONTH(D128,5)</f>
        <v>42308</v>
      </c>
      <c r="F128" s="111">
        <v>750</v>
      </c>
      <c r="G128" s="111">
        <v>0</v>
      </c>
      <c r="H128" s="111">
        <v>101.5625</v>
      </c>
      <c r="I128" s="112"/>
      <c r="J128" s="111">
        <v>11.827256944444445</v>
      </c>
      <c r="K128" s="113" t="s">
        <v>54</v>
      </c>
      <c r="L128" s="114" t="s">
        <v>90</v>
      </c>
      <c r="M128" s="136">
        <f t="shared" ref="M128" si="36">IF(C128&gt;D128,QUOTIENT(DAYS360(C128,E128),30),6)</f>
        <v>1</v>
      </c>
      <c r="N128" s="136">
        <f t="shared" ref="N128" si="37">IF(C128&gt;D128,MOD(DAYS360(C128,E128),30),0)</f>
        <v>0</v>
      </c>
      <c r="O128" s="115" t="s">
        <v>69</v>
      </c>
      <c r="P128" s="148">
        <f t="shared" si="18"/>
        <v>426.76685474537038</v>
      </c>
      <c r="Q128" s="148">
        <f t="shared" ref="Q128" si="38">ROUND(((P128/12)*M128)+((P128/12/30)*N128),2)</f>
        <v>35.56</v>
      </c>
      <c r="R128" s="148">
        <f t="shared" ref="R128" si="39">SUM(F128:I128)</f>
        <v>851.5625</v>
      </c>
      <c r="S128" s="148">
        <f t="shared" ref="S128" si="40">ROUND(Q128,2)</f>
        <v>35.56</v>
      </c>
      <c r="T128" s="115">
        <v>350</v>
      </c>
      <c r="U128" s="115" t="s">
        <v>83</v>
      </c>
    </row>
    <row r="129" spans="1:21" x14ac:dyDescent="0.2">
      <c r="A129" s="127">
        <v>130</v>
      </c>
      <c r="B129" s="108" t="s">
        <v>70</v>
      </c>
      <c r="C129" s="109">
        <v>41000</v>
      </c>
      <c r="D129" s="109">
        <v>42186</v>
      </c>
      <c r="E129" s="132">
        <f t="shared" si="19"/>
        <v>42369</v>
      </c>
      <c r="F129" s="111">
        <v>5000</v>
      </c>
      <c r="G129" s="111">
        <v>0</v>
      </c>
      <c r="H129" s="111"/>
      <c r="I129" s="112">
        <v>0</v>
      </c>
      <c r="J129" s="111">
        <v>416.66666666666669</v>
      </c>
      <c r="K129" s="113" t="s">
        <v>54</v>
      </c>
      <c r="L129" s="114" t="s">
        <v>90</v>
      </c>
      <c r="M129" s="136">
        <f t="shared" si="20"/>
        <v>6</v>
      </c>
      <c r="N129" s="136">
        <f t="shared" si="21"/>
        <v>0</v>
      </c>
      <c r="O129" s="115" t="s">
        <v>69</v>
      </c>
      <c r="P129" s="148">
        <f t="shared" si="18"/>
        <v>2534.7222222222222</v>
      </c>
      <c r="Q129" s="148">
        <f t="shared" si="22"/>
        <v>1267.3599999999999</v>
      </c>
      <c r="R129" s="148">
        <f t="shared" si="17"/>
        <v>5000</v>
      </c>
      <c r="S129" s="148">
        <f t="shared" si="23"/>
        <v>1267.3599999999999</v>
      </c>
      <c r="T129" s="115">
        <v>1</v>
      </c>
      <c r="U129" s="115" t="s">
        <v>83</v>
      </c>
    </row>
    <row r="130" spans="1:21" x14ac:dyDescent="0.2">
      <c r="A130" s="127">
        <v>131</v>
      </c>
      <c r="B130" s="108" t="s">
        <v>70</v>
      </c>
      <c r="C130" s="109">
        <v>41000</v>
      </c>
      <c r="D130" s="109">
        <v>42186</v>
      </c>
      <c r="E130" s="132">
        <f t="shared" si="19"/>
        <v>42369</v>
      </c>
      <c r="F130" s="111">
        <v>1500</v>
      </c>
      <c r="G130" s="111">
        <v>0</v>
      </c>
      <c r="H130" s="111"/>
      <c r="I130" s="112">
        <v>500</v>
      </c>
      <c r="J130" s="111">
        <v>166.66666666666666</v>
      </c>
      <c r="K130" s="113" t="s">
        <v>54</v>
      </c>
      <c r="L130" s="114" t="s">
        <v>90</v>
      </c>
      <c r="M130" s="136">
        <f t="shared" si="20"/>
        <v>6</v>
      </c>
      <c r="N130" s="136">
        <f t="shared" si="21"/>
        <v>0</v>
      </c>
      <c r="O130" s="115" t="s">
        <v>69</v>
      </c>
      <c r="P130" s="148">
        <f t="shared" si="18"/>
        <v>1013.8888888888889</v>
      </c>
      <c r="Q130" s="148">
        <f t="shared" si="22"/>
        <v>506.94</v>
      </c>
      <c r="R130" s="148">
        <f t="shared" si="17"/>
        <v>2000</v>
      </c>
      <c r="S130" s="148">
        <f t="shared" si="23"/>
        <v>506.94</v>
      </c>
      <c r="T130" s="115">
        <v>2</v>
      </c>
      <c r="U130" s="115" t="s">
        <v>83</v>
      </c>
    </row>
    <row r="131" spans="1:21" x14ac:dyDescent="0.2">
      <c r="A131" s="127">
        <v>132</v>
      </c>
      <c r="B131" s="108" t="s">
        <v>70</v>
      </c>
      <c r="C131" s="109">
        <v>41468</v>
      </c>
      <c r="D131" s="109">
        <v>42186</v>
      </c>
      <c r="E131" s="132">
        <f t="shared" si="19"/>
        <v>42369</v>
      </c>
      <c r="F131" s="111">
        <v>1500</v>
      </c>
      <c r="G131" s="111">
        <v>0</v>
      </c>
      <c r="H131" s="111"/>
      <c r="I131" s="112">
        <v>0</v>
      </c>
      <c r="J131" s="111">
        <v>125</v>
      </c>
      <c r="K131" s="113" t="s">
        <v>54</v>
      </c>
      <c r="L131" s="114" t="s">
        <v>90</v>
      </c>
      <c r="M131" s="136">
        <f t="shared" si="20"/>
        <v>6</v>
      </c>
      <c r="N131" s="136">
        <f t="shared" si="21"/>
        <v>0</v>
      </c>
      <c r="O131" s="115" t="s">
        <v>69</v>
      </c>
      <c r="P131" s="148">
        <f t="shared" si="18"/>
        <v>760.41666666666663</v>
      </c>
      <c r="Q131" s="148">
        <f t="shared" si="22"/>
        <v>380.21</v>
      </c>
      <c r="R131" s="148">
        <f t="shared" si="17"/>
        <v>1500</v>
      </c>
      <c r="S131" s="148">
        <f t="shared" si="23"/>
        <v>380.21</v>
      </c>
      <c r="T131" s="115">
        <v>3</v>
      </c>
      <c r="U131" s="115" t="s">
        <v>83</v>
      </c>
    </row>
    <row r="132" spans="1:21" x14ac:dyDescent="0.2">
      <c r="A132" s="127">
        <v>133</v>
      </c>
      <c r="B132" s="108" t="s">
        <v>70</v>
      </c>
      <c r="C132" s="109">
        <v>41659</v>
      </c>
      <c r="D132" s="109">
        <v>42186</v>
      </c>
      <c r="E132" s="132">
        <f t="shared" si="19"/>
        <v>42369</v>
      </c>
      <c r="F132" s="111">
        <v>2000</v>
      </c>
      <c r="G132" s="111">
        <v>0</v>
      </c>
      <c r="H132" s="111"/>
      <c r="I132" s="112">
        <v>0</v>
      </c>
      <c r="J132" s="111">
        <v>166.66666666666666</v>
      </c>
      <c r="K132" s="113" t="s">
        <v>54</v>
      </c>
      <c r="L132" s="114" t="s">
        <v>90</v>
      </c>
      <c r="M132" s="136">
        <f t="shared" si="20"/>
        <v>6</v>
      </c>
      <c r="N132" s="136">
        <f t="shared" si="21"/>
        <v>0</v>
      </c>
      <c r="O132" s="115" t="s">
        <v>69</v>
      </c>
      <c r="P132" s="148">
        <f t="shared" si="18"/>
        <v>1013.8888888888889</v>
      </c>
      <c r="Q132" s="148">
        <f t="shared" si="22"/>
        <v>506.94</v>
      </c>
      <c r="R132" s="148">
        <f t="shared" si="17"/>
        <v>2000</v>
      </c>
      <c r="S132" s="148">
        <f t="shared" ref="S132:S137" si="41">ROUND(Q132,2)</f>
        <v>506.94</v>
      </c>
      <c r="T132" s="115">
        <v>4</v>
      </c>
      <c r="U132" s="115" t="s">
        <v>83</v>
      </c>
    </row>
    <row r="133" spans="1:21" x14ac:dyDescent="0.2">
      <c r="A133" s="127">
        <v>134</v>
      </c>
      <c r="B133" s="108" t="s">
        <v>70</v>
      </c>
      <c r="C133" s="109">
        <v>41061</v>
      </c>
      <c r="D133" s="109">
        <v>42186</v>
      </c>
      <c r="E133" s="132">
        <f t="shared" si="19"/>
        <v>42369</v>
      </c>
      <c r="F133" s="111">
        <v>1600</v>
      </c>
      <c r="G133" s="111">
        <v>0</v>
      </c>
      <c r="H133" s="111"/>
      <c r="I133" s="112">
        <v>0</v>
      </c>
      <c r="J133" s="111">
        <v>133.33333333333334</v>
      </c>
      <c r="K133" s="113" t="s">
        <v>54</v>
      </c>
      <c r="L133" s="114" t="s">
        <v>90</v>
      </c>
      <c r="M133" s="136">
        <f t="shared" si="20"/>
        <v>6</v>
      </c>
      <c r="N133" s="136">
        <f t="shared" si="21"/>
        <v>0</v>
      </c>
      <c r="O133" s="115" t="s">
        <v>69</v>
      </c>
      <c r="P133" s="148">
        <f t="shared" si="18"/>
        <v>811.11111111111109</v>
      </c>
      <c r="Q133" s="148">
        <f t="shared" si="22"/>
        <v>405.56</v>
      </c>
      <c r="R133" s="148">
        <f t="shared" si="17"/>
        <v>1600</v>
      </c>
      <c r="S133" s="148">
        <f t="shared" si="41"/>
        <v>405.56</v>
      </c>
      <c r="T133" s="115">
        <v>5</v>
      </c>
      <c r="U133" s="115" t="s">
        <v>83</v>
      </c>
    </row>
    <row r="134" spans="1:21" x14ac:dyDescent="0.2">
      <c r="A134" s="127">
        <v>135</v>
      </c>
      <c r="B134" s="108" t="s">
        <v>70</v>
      </c>
      <c r="C134" s="109">
        <v>41791</v>
      </c>
      <c r="D134" s="109">
        <v>42186</v>
      </c>
      <c r="E134" s="132">
        <f t="shared" si="19"/>
        <v>42369</v>
      </c>
      <c r="F134" s="111">
        <v>1200</v>
      </c>
      <c r="G134" s="111">
        <v>0</v>
      </c>
      <c r="H134" s="111"/>
      <c r="I134" s="112">
        <v>0</v>
      </c>
      <c r="J134" s="111">
        <v>100</v>
      </c>
      <c r="K134" s="113" t="s">
        <v>54</v>
      </c>
      <c r="L134" s="114" t="s">
        <v>90</v>
      </c>
      <c r="M134" s="136">
        <f t="shared" si="20"/>
        <v>6</v>
      </c>
      <c r="N134" s="136">
        <f t="shared" si="21"/>
        <v>0</v>
      </c>
      <c r="O134" s="115" t="s">
        <v>69</v>
      </c>
      <c r="P134" s="148">
        <f t="shared" si="18"/>
        <v>608.33333333333337</v>
      </c>
      <c r="Q134" s="148">
        <f t="shared" si="22"/>
        <v>304.17</v>
      </c>
      <c r="R134" s="148">
        <f t="shared" si="17"/>
        <v>1200</v>
      </c>
      <c r="S134" s="148">
        <f t="shared" si="41"/>
        <v>304.17</v>
      </c>
      <c r="T134" s="115">
        <v>7</v>
      </c>
      <c r="U134" s="115" t="s">
        <v>83</v>
      </c>
    </row>
    <row r="135" spans="1:21" x14ac:dyDescent="0.2">
      <c r="A135" s="127">
        <v>136</v>
      </c>
      <c r="B135" s="108" t="s">
        <v>70</v>
      </c>
      <c r="C135" s="109">
        <v>41913</v>
      </c>
      <c r="D135" s="109">
        <v>42186</v>
      </c>
      <c r="E135" s="132">
        <f t="shared" si="19"/>
        <v>42369</v>
      </c>
      <c r="F135" s="111">
        <v>3500</v>
      </c>
      <c r="G135" s="111">
        <v>0</v>
      </c>
      <c r="H135" s="111"/>
      <c r="I135" s="112">
        <v>0</v>
      </c>
      <c r="J135" s="111">
        <v>291.66666666666669</v>
      </c>
      <c r="K135" s="113" t="s">
        <v>54</v>
      </c>
      <c r="L135" s="114" t="s">
        <v>90</v>
      </c>
      <c r="M135" s="136">
        <f t="shared" si="20"/>
        <v>6</v>
      </c>
      <c r="N135" s="136">
        <f t="shared" si="21"/>
        <v>0</v>
      </c>
      <c r="O135" s="115" t="s">
        <v>69</v>
      </c>
      <c r="P135" s="148">
        <f t="shared" si="18"/>
        <v>1774.3055555555557</v>
      </c>
      <c r="Q135" s="148">
        <f t="shared" si="22"/>
        <v>887.15</v>
      </c>
      <c r="R135" s="148">
        <f>SUM(F135:I135)</f>
        <v>3500</v>
      </c>
      <c r="S135" s="148">
        <f t="shared" si="41"/>
        <v>887.15</v>
      </c>
      <c r="T135" s="115">
        <v>8</v>
      </c>
      <c r="U135" s="115" t="s">
        <v>83</v>
      </c>
    </row>
    <row r="136" spans="1:21" x14ac:dyDescent="0.2">
      <c r="A136" s="127">
        <v>137</v>
      </c>
      <c r="B136" s="108" t="s">
        <v>70</v>
      </c>
      <c r="C136" s="109">
        <v>41000</v>
      </c>
      <c r="D136" s="109">
        <v>42186</v>
      </c>
      <c r="E136" s="132">
        <f t="shared" si="19"/>
        <v>42369</v>
      </c>
      <c r="F136" s="111">
        <v>750</v>
      </c>
      <c r="G136" s="111">
        <v>0</v>
      </c>
      <c r="H136" s="111"/>
      <c r="I136" s="112">
        <v>0</v>
      </c>
      <c r="J136" s="111">
        <v>62.5</v>
      </c>
      <c r="K136" s="113" t="s">
        <v>54</v>
      </c>
      <c r="L136" s="114" t="s">
        <v>90</v>
      </c>
      <c r="M136" s="136">
        <f t="shared" si="20"/>
        <v>6</v>
      </c>
      <c r="N136" s="136">
        <f t="shared" si="21"/>
        <v>0</v>
      </c>
      <c r="O136" s="115" t="s">
        <v>69</v>
      </c>
      <c r="P136" s="148">
        <f t="shared" ref="P136:P138" si="42">IF(U136="MYPE",((SUM(F136:I136)+(J136/6))/2),(SUM(F136:I136)+(J136/6)))</f>
        <v>380.20833333333331</v>
      </c>
      <c r="Q136" s="148">
        <f t="shared" si="22"/>
        <v>190.1</v>
      </c>
      <c r="R136" s="148">
        <f t="shared" si="17"/>
        <v>750</v>
      </c>
      <c r="S136" s="148">
        <f t="shared" si="41"/>
        <v>190.1</v>
      </c>
      <c r="T136" s="115">
        <v>9</v>
      </c>
      <c r="U136" s="115" t="s">
        <v>83</v>
      </c>
    </row>
    <row r="137" spans="1:21" x14ac:dyDescent="0.2">
      <c r="A137" s="127">
        <v>138</v>
      </c>
      <c r="B137" s="108" t="s">
        <v>70</v>
      </c>
      <c r="C137" s="109">
        <v>42268</v>
      </c>
      <c r="D137" s="109">
        <v>42186</v>
      </c>
      <c r="E137" s="132">
        <f t="shared" si="19"/>
        <v>42369</v>
      </c>
      <c r="F137" s="111">
        <v>6000</v>
      </c>
      <c r="G137" s="111">
        <v>0</v>
      </c>
      <c r="H137" s="111"/>
      <c r="I137" s="112">
        <v>0</v>
      </c>
      <c r="J137" s="111">
        <v>0</v>
      </c>
      <c r="K137" s="113" t="s">
        <v>54</v>
      </c>
      <c r="L137" s="114" t="s">
        <v>90</v>
      </c>
      <c r="M137" s="136">
        <f t="shared" si="20"/>
        <v>3</v>
      </c>
      <c r="N137" s="136">
        <f t="shared" si="21"/>
        <v>10</v>
      </c>
      <c r="O137" s="115" t="s">
        <v>69</v>
      </c>
      <c r="P137" s="148">
        <f t="shared" si="42"/>
        <v>3000</v>
      </c>
      <c r="Q137" s="148">
        <f t="shared" si="22"/>
        <v>833.33</v>
      </c>
      <c r="R137" s="148">
        <f t="shared" si="17"/>
        <v>6000</v>
      </c>
      <c r="S137" s="148">
        <f t="shared" si="41"/>
        <v>833.33</v>
      </c>
      <c r="T137" s="115">
        <v>10</v>
      </c>
      <c r="U137" s="115" t="s">
        <v>83</v>
      </c>
    </row>
    <row r="138" spans="1:21" x14ac:dyDescent="0.2">
      <c r="A138" s="128"/>
      <c r="B138" s="119"/>
      <c r="C138" s="110"/>
      <c r="D138" s="118"/>
      <c r="E138" s="128"/>
      <c r="F138" s="120"/>
      <c r="G138" s="120"/>
      <c r="H138" s="120">
        <f>SUM(H11:H137)</f>
        <v>13626.4375</v>
      </c>
      <c r="I138" s="120">
        <f>SUM(I11:I137)</f>
        <v>500</v>
      </c>
      <c r="J138" s="120">
        <f>SUM(J11:J137)</f>
        <v>9971.3362991898175</v>
      </c>
      <c r="K138" s="118"/>
      <c r="L138" s="121"/>
      <c r="M138" s="128"/>
      <c r="N138" s="128"/>
      <c r="O138" s="122"/>
      <c r="P138" s="148">
        <f t="shared" si="42"/>
        <v>15788.326883198302</v>
      </c>
      <c r="Q138" s="138">
        <f>SUM(Q6:Q137)</f>
        <v>33511.910000000018</v>
      </c>
      <c r="R138" s="149"/>
      <c r="S138" s="139">
        <f>SUM(S6:S137)</f>
        <v>33511.910000000018</v>
      </c>
    </row>
    <row r="139" spans="1:21" x14ac:dyDescent="0.2">
      <c r="F139" s="100"/>
      <c r="G139" s="100"/>
      <c r="H139" s="100"/>
      <c r="J139" s="100"/>
      <c r="L139" s="123"/>
      <c r="Q139" s="124">
        <f>+Q138/3</f>
        <v>11170.636666666673</v>
      </c>
    </row>
    <row r="141" spans="1:21" x14ac:dyDescent="0.2">
      <c r="F141" s="100"/>
      <c r="G141" s="100"/>
      <c r="H141" s="100"/>
      <c r="J141" s="100"/>
      <c r="L141" s="123"/>
    </row>
    <row r="142" spans="1:21" x14ac:dyDescent="0.2">
      <c r="F142" s="100"/>
      <c r="G142" s="100"/>
      <c r="H142" s="100"/>
      <c r="J142" s="100"/>
      <c r="L142" s="123"/>
    </row>
    <row r="143" spans="1:21" x14ac:dyDescent="0.2">
      <c r="F143" s="100"/>
      <c r="G143" s="100"/>
      <c r="H143" s="100"/>
      <c r="J143" s="100"/>
      <c r="L143" s="123"/>
    </row>
    <row r="144" spans="1:21" x14ac:dyDescent="0.2">
      <c r="F144" s="100"/>
      <c r="G144" s="100"/>
      <c r="H144" s="100"/>
      <c r="J144" s="100"/>
      <c r="L144" s="123"/>
    </row>
    <row r="145" spans="6:12" x14ac:dyDescent="0.2">
      <c r="F145" s="100"/>
      <c r="G145" s="100"/>
      <c r="H145" s="100"/>
      <c r="J145" s="100"/>
      <c r="L145" s="123"/>
    </row>
    <row r="146" spans="6:12" x14ac:dyDescent="0.2">
      <c r="F146" s="100"/>
      <c r="G146" s="100"/>
      <c r="H146" s="100"/>
      <c r="J146" s="100"/>
      <c r="L146" s="123"/>
    </row>
    <row r="147" spans="6:12" x14ac:dyDescent="0.2">
      <c r="F147" s="100"/>
      <c r="G147" s="100"/>
      <c r="H147" s="100"/>
      <c r="J147" s="100"/>
      <c r="L147" s="123"/>
    </row>
    <row r="148" spans="6:12" x14ac:dyDescent="0.2">
      <c r="F148" s="100"/>
      <c r="G148" s="100"/>
      <c r="H148" s="100"/>
      <c r="J148" s="100"/>
      <c r="L148" s="123"/>
    </row>
    <row r="149" spans="6:12" x14ac:dyDescent="0.2">
      <c r="F149" s="100"/>
      <c r="G149" s="100"/>
      <c r="H149" s="100"/>
      <c r="J149" s="100"/>
      <c r="L149" s="123"/>
    </row>
    <row r="150" spans="6:12" x14ac:dyDescent="0.2">
      <c r="F150" s="100"/>
      <c r="G150" s="100"/>
      <c r="H150" s="100"/>
      <c r="J150" s="100"/>
      <c r="L150" s="123"/>
    </row>
    <row r="151" spans="6:12" x14ac:dyDescent="0.2">
      <c r="F151" s="100"/>
      <c r="G151" s="100"/>
      <c r="H151" s="100"/>
      <c r="J151" s="100"/>
      <c r="L151" s="123"/>
    </row>
  </sheetData>
  <sheetProtection formatCells="0" formatColumns="0" formatRows="0" insertColumns="0" insertRows="0" insertHyperlinks="0" deleteColumns="0" deleteRows="0" selectLockedCells="1" sort="0" autoFilter="0" pivotTables="0"/>
  <sortState ref="B6:Q118">
    <sortCondition ref="L6:L118"/>
  </sortState>
  <mergeCells count="22">
    <mergeCell ref="U4:U5"/>
    <mergeCell ref="H3:I3"/>
    <mergeCell ref="Q4:Q5"/>
    <mergeCell ref="R4:R5"/>
    <mergeCell ref="S4:S5"/>
    <mergeCell ref="T4:T5"/>
    <mergeCell ref="A4:A5"/>
    <mergeCell ref="B4:B5"/>
    <mergeCell ref="C4:C5"/>
    <mergeCell ref="D4:D5"/>
    <mergeCell ref="E4:E5"/>
    <mergeCell ref="K4:K5"/>
    <mergeCell ref="F4:F5"/>
    <mergeCell ref="G4:G5"/>
    <mergeCell ref="H4:H5"/>
    <mergeCell ref="I4:I5"/>
    <mergeCell ref="J4:J5"/>
    <mergeCell ref="L4:L5"/>
    <mergeCell ref="M4:M5"/>
    <mergeCell ref="N4:N5"/>
    <mergeCell ref="O4:O5"/>
    <mergeCell ref="P4:P5"/>
  </mergeCells>
  <phoneticPr fontId="0" type="noConversion"/>
  <dataValidations count="1">
    <dataValidation type="list" allowBlank="1" showInputMessage="1" showErrorMessage="1" sqref="U6:U137">
      <formula1>REGIMEN</formula1>
    </dataValidation>
  </dataValidations>
  <pageMargins left="0.75" right="0.75" top="1" bottom="1" header="0" footer="0"/>
  <pageSetup paperSize="9" orientation="portrait" horizontalDpi="300" verticalDpi="300" r:id="rId1"/>
  <headerFooter alignWithMargins="0"/>
  <ignoredErrors>
    <ignoredError sqref="R129:R136 R6:R47 R48:R59 R60:R103"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6" tint="0.79998168889431442"/>
    <pageSetUpPr fitToPage="1"/>
  </sheetPr>
  <dimension ref="A1:AA126"/>
  <sheetViews>
    <sheetView topLeftCell="A25" zoomScale="86" zoomScaleNormal="86" zoomScaleSheetLayoutView="50" zoomScalePageLayoutView="40" workbookViewId="0">
      <selection activeCell="I22" sqref="I22"/>
    </sheetView>
  </sheetViews>
  <sheetFormatPr baseColWidth="10" defaultColWidth="20.28515625" defaultRowHeight="12.75" x14ac:dyDescent="0.2"/>
  <cols>
    <col min="1" max="1" width="3.28515625" style="16" customWidth="1"/>
    <col min="2" max="2" width="5.28515625" style="10" customWidth="1"/>
    <col min="3" max="3" width="31.5703125" style="10" customWidth="1"/>
    <col min="4" max="4" width="4.85546875" style="10" customWidth="1"/>
    <col min="5" max="5" width="16.28515625" style="10" customWidth="1"/>
    <col min="6" max="6" width="13.42578125" style="10" customWidth="1"/>
    <col min="7" max="7" width="13" style="10" bestFit="1" customWidth="1"/>
    <col min="8" max="8" width="12.42578125" style="10" customWidth="1"/>
    <col min="9" max="9" width="9" style="10" customWidth="1"/>
    <col min="10" max="10" width="1.7109375" style="13" customWidth="1"/>
    <col min="11" max="11" width="20.28515625" style="10" hidden="1" customWidth="1"/>
    <col min="12" max="12" width="10.7109375" style="10" hidden="1" customWidth="1"/>
    <col min="13" max="13" width="3.28515625" style="10" hidden="1" customWidth="1"/>
    <col min="14" max="14" width="0.28515625" style="10" customWidth="1"/>
    <col min="15" max="15" width="1" style="10" customWidth="1"/>
    <col min="16" max="16" width="7" style="10" customWidth="1"/>
    <col min="17" max="17" width="7.140625" style="10" customWidth="1"/>
    <col min="18" max="18" width="3.28515625" style="16" customWidth="1"/>
    <col min="19" max="19" width="5.28515625" style="10" customWidth="1"/>
    <col min="20" max="20" width="31.5703125" style="10" customWidth="1"/>
    <col min="21" max="21" width="4.85546875" style="10" customWidth="1"/>
    <col min="22" max="22" width="16.28515625" style="10" customWidth="1"/>
    <col min="23" max="23" width="13.42578125" style="10" customWidth="1"/>
    <col min="24" max="24" width="13" style="10" bestFit="1" customWidth="1"/>
    <col min="25" max="25" width="12.42578125" style="10" customWidth="1"/>
    <col min="26" max="26" width="10.42578125" style="10" customWidth="1"/>
    <col min="27" max="27" width="2.42578125" style="10" customWidth="1"/>
    <col min="28" max="16384" width="20.28515625" style="10"/>
  </cols>
  <sheetData>
    <row r="1" spans="1:26" x14ac:dyDescent="0.2">
      <c r="A1" s="9" t="s">
        <v>71</v>
      </c>
      <c r="B1" s="9"/>
      <c r="C1" s="9"/>
      <c r="H1" s="11">
        <v>3</v>
      </c>
      <c r="I1" s="12">
        <f>H1</f>
        <v>3</v>
      </c>
      <c r="O1" s="14"/>
      <c r="P1" s="15" t="s">
        <v>72</v>
      </c>
    </row>
    <row r="2" spans="1:26" s="13" customFormat="1" x14ac:dyDescent="0.2">
      <c r="A2" s="17"/>
      <c r="B2" s="18"/>
      <c r="C2" s="18"/>
      <c r="D2" s="18"/>
      <c r="E2" s="18"/>
      <c r="F2" s="18"/>
      <c r="G2" s="18"/>
      <c r="H2" s="11"/>
      <c r="I2" s="12"/>
      <c r="J2" s="18"/>
      <c r="K2" s="18"/>
      <c r="L2" s="18"/>
      <c r="M2" s="18"/>
      <c r="N2" s="18"/>
      <c r="O2" s="19"/>
      <c r="P2" s="18"/>
      <c r="Q2" s="18"/>
      <c r="R2" s="17"/>
      <c r="S2" s="18"/>
      <c r="T2" s="18"/>
      <c r="U2" s="18"/>
      <c r="V2" s="18"/>
      <c r="W2" s="18"/>
      <c r="X2" s="18"/>
      <c r="Y2" s="18"/>
      <c r="Z2" s="18"/>
    </row>
    <row r="3" spans="1:26" s="13" customFormat="1" ht="12.75" customHeight="1" x14ac:dyDescent="0.2">
      <c r="A3" s="17"/>
      <c r="B3" s="20"/>
      <c r="C3" s="20"/>
      <c r="D3" s="21"/>
      <c r="E3" s="22"/>
      <c r="F3" s="22"/>
      <c r="G3" s="22"/>
      <c r="H3" s="23"/>
      <c r="I3" s="23"/>
      <c r="J3" s="23"/>
      <c r="K3" s="24"/>
      <c r="L3" s="24"/>
      <c r="M3" s="24"/>
      <c r="N3" s="24"/>
      <c r="O3" s="25"/>
      <c r="P3" s="26"/>
      <c r="Q3" s="24"/>
      <c r="R3" s="17"/>
      <c r="S3" s="20"/>
      <c r="T3" s="20"/>
      <c r="U3" s="21"/>
      <c r="V3" s="22"/>
      <c r="W3" s="22"/>
      <c r="X3" s="22"/>
      <c r="Y3" s="23"/>
      <c r="Z3" s="23"/>
    </row>
    <row r="4" spans="1:26" s="13" customFormat="1" ht="12.75" customHeight="1" x14ac:dyDescent="0.2">
      <c r="A4" s="27" t="s">
        <v>80</v>
      </c>
      <c r="B4" s="27"/>
      <c r="C4" s="27"/>
      <c r="D4" s="27"/>
      <c r="E4" s="27"/>
      <c r="F4" s="27"/>
      <c r="G4" s="27"/>
      <c r="H4" s="27"/>
      <c r="I4" s="27"/>
      <c r="J4" s="23"/>
      <c r="K4" s="24"/>
      <c r="L4" s="28"/>
      <c r="M4" s="28"/>
      <c r="N4" s="28"/>
      <c r="O4" s="25"/>
      <c r="P4" s="29"/>
      <c r="Q4" s="28"/>
      <c r="R4" s="27" t="s">
        <v>80</v>
      </c>
      <c r="S4" s="27"/>
      <c r="T4" s="27"/>
      <c r="U4" s="27"/>
      <c r="V4" s="27"/>
      <c r="W4" s="27"/>
      <c r="X4" s="27"/>
      <c r="Y4" s="27"/>
      <c r="Z4" s="27"/>
    </row>
    <row r="5" spans="1:26" ht="19.5" customHeight="1" x14ac:dyDescent="0.2">
      <c r="A5" s="27"/>
      <c r="B5" s="27"/>
      <c r="C5" s="27"/>
      <c r="D5" s="27"/>
      <c r="E5" s="27"/>
      <c r="F5" s="27"/>
      <c r="G5" s="27"/>
      <c r="H5" s="27"/>
      <c r="I5" s="27"/>
      <c r="O5" s="14"/>
      <c r="R5" s="27"/>
      <c r="S5" s="27"/>
      <c r="T5" s="27"/>
      <c r="U5" s="27"/>
      <c r="V5" s="27"/>
      <c r="W5" s="27"/>
      <c r="X5" s="27"/>
      <c r="Y5" s="27"/>
      <c r="Z5" s="27"/>
    </row>
    <row r="6" spans="1:26" ht="31.5" customHeight="1" x14ac:dyDescent="0.2">
      <c r="C6" s="16"/>
      <c r="D6" s="16"/>
      <c r="E6" s="30" t="s">
        <v>79</v>
      </c>
      <c r="I6" s="31"/>
      <c r="O6" s="14"/>
      <c r="T6" s="16"/>
      <c r="U6" s="16"/>
      <c r="V6" s="30" t="s">
        <v>79</v>
      </c>
      <c r="Z6" s="31"/>
    </row>
    <row r="7" spans="1:26" ht="20.25" customHeight="1" x14ac:dyDescent="0.2">
      <c r="C7" s="16" t="s">
        <v>60</v>
      </c>
      <c r="D7" s="16" t="s">
        <v>0</v>
      </c>
      <c r="E7" s="32">
        <f>VLOOKUP(H1,TABLAS!A6:T136,20,0)</f>
        <v>103</v>
      </c>
      <c r="I7" s="33"/>
      <c r="L7" s="34">
        <f>VLOOKUP(H1,TAB,4,0)</f>
        <v>42125</v>
      </c>
      <c r="M7" s="10" t="str">
        <f>TEXT(L7,"DD/MM/YYYY")</f>
        <v>01/05/2015</v>
      </c>
      <c r="O7" s="14"/>
      <c r="T7" s="16" t="s">
        <v>60</v>
      </c>
      <c r="U7" s="16" t="s">
        <v>0</v>
      </c>
      <c r="V7" s="32">
        <f>VLOOKUP(H1,TABLAS!A6:T136,20,0)</f>
        <v>103</v>
      </c>
      <c r="Z7" s="33"/>
    </row>
    <row r="8" spans="1:26" x14ac:dyDescent="0.2">
      <c r="C8" s="16" t="s">
        <v>1</v>
      </c>
      <c r="D8" s="16" t="s">
        <v>0</v>
      </c>
      <c r="E8" s="16" t="str">
        <f>VLOOKUP(H1,TAB,2,0)</f>
        <v>JUAN CARLOS</v>
      </c>
      <c r="F8" s="16"/>
      <c r="L8" s="34">
        <f>VLOOKUP(H1,TAB,5,0)</f>
        <v>42308</v>
      </c>
      <c r="M8" s="10" t="str">
        <f>TEXT(L8,"DD/MM/YYYY")</f>
        <v>31/10/2015</v>
      </c>
      <c r="O8" s="14"/>
      <c r="T8" s="16" t="s">
        <v>1</v>
      </c>
      <c r="U8" s="16" t="s">
        <v>0</v>
      </c>
      <c r="V8" s="16" t="str">
        <f>VLOOKUP(I1,TAB,2,0)</f>
        <v>JUAN CARLOS</v>
      </c>
      <c r="W8" s="16"/>
    </row>
    <row r="9" spans="1:26" x14ac:dyDescent="0.2">
      <c r="C9" s="16" t="s">
        <v>58</v>
      </c>
      <c r="D9" s="16" t="s">
        <v>0</v>
      </c>
      <c r="E9" s="35" t="str">
        <f>VLOOKUP(H1,TAB,15,0)</f>
        <v>00000000</v>
      </c>
      <c r="F9" s="35"/>
      <c r="O9" s="14"/>
      <c r="T9" s="16" t="s">
        <v>58</v>
      </c>
      <c r="U9" s="16" t="s">
        <v>0</v>
      </c>
      <c r="V9" s="35" t="str">
        <f>VLOOKUP(I1,TAB,15,0)</f>
        <v>00000000</v>
      </c>
      <c r="W9" s="35"/>
    </row>
    <row r="10" spans="1:26" x14ac:dyDescent="0.2">
      <c r="C10" s="16" t="s">
        <v>59</v>
      </c>
      <c r="D10" s="16" t="s">
        <v>0</v>
      </c>
      <c r="E10" s="34">
        <f>VLOOKUP(H1,TAB,3,0)</f>
        <v>40562</v>
      </c>
      <c r="F10" s="34"/>
      <c r="O10" s="14"/>
      <c r="T10" s="16" t="s">
        <v>59</v>
      </c>
      <c r="U10" s="16" t="s">
        <v>0</v>
      </c>
      <c r="V10" s="34">
        <f>VLOOKUP(I1,TAB,3,0)</f>
        <v>40562</v>
      </c>
      <c r="W10" s="34"/>
    </row>
    <row r="11" spans="1:26" x14ac:dyDescent="0.2">
      <c r="C11" s="16" t="s">
        <v>85</v>
      </c>
      <c r="D11" s="16" t="s">
        <v>0</v>
      </c>
      <c r="E11" s="35" t="str">
        <f>VLOOKUP(H1,TABLAS!A6:Z136,21,0)</f>
        <v>GENERAL</v>
      </c>
      <c r="O11" s="14"/>
      <c r="T11" s="16" t="s">
        <v>85</v>
      </c>
      <c r="U11" s="16" t="s">
        <v>0</v>
      </c>
      <c r="V11" s="35" t="str">
        <f>VLOOKUP(H1,TABLAS!A6:Z136,21,0)</f>
        <v>GENERAL</v>
      </c>
    </row>
    <row r="12" spans="1:26" x14ac:dyDescent="0.2">
      <c r="C12" s="16" t="s">
        <v>61</v>
      </c>
      <c r="D12" s="16" t="s">
        <v>0</v>
      </c>
      <c r="E12" s="34" t="str">
        <f>CONCATENATE("DEL ",M7," AL ",M8)</f>
        <v>DEL 01/05/2015 AL 31/10/2015</v>
      </c>
      <c r="F12" s="34"/>
      <c r="G12" s="34"/>
      <c r="H12" s="34"/>
      <c r="I12" s="34"/>
      <c r="J12" s="36"/>
      <c r="O12" s="37"/>
      <c r="T12" s="16" t="s">
        <v>61</v>
      </c>
      <c r="U12" s="16" t="s">
        <v>0</v>
      </c>
      <c r="V12" s="34" t="str">
        <f>E12</f>
        <v>DEL 01/05/2015 AL 31/10/2015</v>
      </c>
      <c r="W12" s="34"/>
      <c r="X12" s="34"/>
      <c r="Y12" s="34"/>
      <c r="Z12" s="34"/>
    </row>
    <row r="13" spans="1:26" x14ac:dyDescent="0.2">
      <c r="C13" s="16"/>
      <c r="D13" s="16"/>
      <c r="E13" s="38"/>
      <c r="F13" s="39"/>
      <c r="G13" s="40"/>
      <c r="H13" s="38"/>
      <c r="I13" s="40"/>
      <c r="J13" s="36"/>
      <c r="O13" s="37"/>
      <c r="T13" s="16"/>
      <c r="U13" s="16"/>
      <c r="V13" s="38"/>
      <c r="W13" s="39"/>
      <c r="X13" s="40"/>
      <c r="Y13" s="38"/>
      <c r="Z13" s="40"/>
    </row>
    <row r="14" spans="1:26" x14ac:dyDescent="0.2">
      <c r="C14" s="16"/>
      <c r="D14" s="16"/>
      <c r="E14" s="38"/>
      <c r="F14" s="39"/>
      <c r="G14" s="16"/>
      <c r="O14" s="14"/>
      <c r="T14" s="16"/>
      <c r="U14" s="16"/>
      <c r="V14" s="38"/>
      <c r="W14" s="39"/>
      <c r="X14" s="16"/>
    </row>
    <row r="15" spans="1:26" ht="15.75" x14ac:dyDescent="0.25">
      <c r="A15" s="16" t="s">
        <v>2</v>
      </c>
      <c r="B15" s="16" t="s">
        <v>27</v>
      </c>
      <c r="E15" s="38"/>
      <c r="F15" s="41"/>
      <c r="G15" s="42"/>
      <c r="O15" s="14"/>
      <c r="R15" s="16" t="s">
        <v>2</v>
      </c>
      <c r="S15" s="16" t="s">
        <v>27</v>
      </c>
      <c r="V15" s="38"/>
      <c r="W15" s="41"/>
      <c r="X15" s="42"/>
    </row>
    <row r="16" spans="1:26" ht="15.75" x14ac:dyDescent="0.25">
      <c r="B16" s="16"/>
      <c r="E16" s="38"/>
      <c r="F16" s="41"/>
      <c r="G16" s="42"/>
      <c r="O16" s="14"/>
      <c r="S16" s="16"/>
      <c r="V16" s="38"/>
      <c r="W16" s="41"/>
      <c r="X16" s="42"/>
    </row>
    <row r="17" spans="1:26" x14ac:dyDescent="0.2">
      <c r="C17" s="10" t="s">
        <v>3</v>
      </c>
      <c r="G17" s="43">
        <f>+VLOOKUP(H1,TAB,6,0)</f>
        <v>1220</v>
      </c>
      <c r="H17" s="44"/>
      <c r="I17" s="13"/>
      <c r="O17" s="14"/>
      <c r="T17" s="10" t="s">
        <v>3</v>
      </c>
      <c r="X17" s="43">
        <f>+VLOOKUP(I1,TAB,6,0)</f>
        <v>1220</v>
      </c>
      <c r="Y17" s="44"/>
      <c r="Z17" s="13"/>
    </row>
    <row r="18" spans="1:26" x14ac:dyDescent="0.2">
      <c r="C18" s="10" t="s">
        <v>22</v>
      </c>
      <c r="G18" s="43">
        <f>VLOOKUP(H1,TAB,7,0)</f>
        <v>85</v>
      </c>
      <c r="H18" s="13"/>
      <c r="I18" s="13"/>
      <c r="O18" s="14"/>
      <c r="T18" s="10" t="s">
        <v>22</v>
      </c>
      <c r="X18" s="43">
        <f>VLOOKUP(I1,TAB,7,0)</f>
        <v>85</v>
      </c>
      <c r="Y18" s="13"/>
      <c r="Z18" s="13"/>
    </row>
    <row r="19" spans="1:26" x14ac:dyDescent="0.2">
      <c r="C19" s="10" t="s">
        <v>87</v>
      </c>
      <c r="G19" s="43">
        <f>VLOOKUP(H1,TAB,9,0)</f>
        <v>0</v>
      </c>
      <c r="H19" s="13"/>
      <c r="I19" s="13"/>
      <c r="O19" s="14"/>
      <c r="T19" s="10" t="s">
        <v>87</v>
      </c>
      <c r="X19" s="43">
        <f>VLOOKUP(I1,TAB,9,0)</f>
        <v>0</v>
      </c>
      <c r="Y19" s="13"/>
      <c r="Z19" s="13"/>
    </row>
    <row r="20" spans="1:26" x14ac:dyDescent="0.2">
      <c r="C20" s="10" t="s">
        <v>86</v>
      </c>
      <c r="G20" s="43">
        <f>VLOOKUP(H1,TAB,10,0)</f>
        <v>115.43402777777777</v>
      </c>
      <c r="H20" s="44"/>
      <c r="I20" s="13"/>
      <c r="L20" s="33">
        <f>+G20/2</f>
        <v>57.717013888888886</v>
      </c>
      <c r="M20" s="10" t="str">
        <f>TEXT(L20,"00.00")</f>
        <v>57.72</v>
      </c>
      <c r="O20" s="14"/>
      <c r="T20" s="10" t="s">
        <v>86</v>
      </c>
      <c r="X20" s="43">
        <f>VLOOKUP(I1,TAB,10,0)</f>
        <v>115.43402777777777</v>
      </c>
      <c r="Y20" s="44"/>
      <c r="Z20" s="13"/>
    </row>
    <row r="21" spans="1:26" x14ac:dyDescent="0.2">
      <c r="C21" s="10" t="s">
        <v>24</v>
      </c>
      <c r="G21" s="45">
        <f>VLOOKUP(H1,TAB,8,0)</f>
        <v>165.20833333333331</v>
      </c>
      <c r="H21" s="13"/>
      <c r="I21" s="13"/>
      <c r="O21" s="14"/>
      <c r="T21" s="10" t="s">
        <v>24</v>
      </c>
      <c r="X21" s="45">
        <f>VLOOKUP(I1,TAB,8,0)</f>
        <v>165.20833333333331</v>
      </c>
      <c r="Y21" s="13"/>
      <c r="Z21" s="13"/>
    </row>
    <row r="22" spans="1:26" x14ac:dyDescent="0.2">
      <c r="G22" s="46">
        <f>SUM(G17:G21)</f>
        <v>1585.6423611111111</v>
      </c>
      <c r="H22" s="13"/>
      <c r="I22" s="13"/>
      <c r="O22" s="14"/>
      <c r="X22" s="46">
        <f>SUM(X17:X21)</f>
        <v>1585.6423611111111</v>
      </c>
      <c r="Y22" s="13"/>
      <c r="Z22" s="13"/>
    </row>
    <row r="23" spans="1:26" x14ac:dyDescent="0.2">
      <c r="B23" s="47"/>
      <c r="C23" s="47"/>
      <c r="D23" s="47"/>
      <c r="E23" s="47"/>
      <c r="F23" s="47"/>
      <c r="G23" s="48"/>
      <c r="H23" s="13"/>
      <c r="O23" s="14"/>
      <c r="S23" s="47"/>
      <c r="T23" s="47"/>
      <c r="U23" s="47"/>
      <c r="V23" s="47"/>
      <c r="W23" s="47"/>
      <c r="X23" s="48"/>
      <c r="Y23" s="13"/>
    </row>
    <row r="24" spans="1:26" x14ac:dyDescent="0.2">
      <c r="C24" s="13"/>
      <c r="D24" s="13"/>
      <c r="E24" s="13"/>
      <c r="F24" s="13"/>
      <c r="G24" s="49"/>
      <c r="H24" s="13"/>
      <c r="O24" s="14"/>
      <c r="T24" s="13"/>
      <c r="U24" s="13"/>
      <c r="V24" s="13"/>
      <c r="W24" s="13"/>
      <c r="X24" s="49"/>
      <c r="Y24" s="13"/>
    </row>
    <row r="25" spans="1:26" x14ac:dyDescent="0.2">
      <c r="A25" s="16" t="s">
        <v>4</v>
      </c>
      <c r="B25" s="16" t="s">
        <v>57</v>
      </c>
      <c r="E25" s="16"/>
      <c r="G25" s="50">
        <f>IF(E11="GENERAL",0,(G22/2))</f>
        <v>0</v>
      </c>
      <c r="H25" s="13"/>
      <c r="O25" s="14"/>
      <c r="R25" s="16" t="s">
        <v>4</v>
      </c>
      <c r="S25" s="16" t="s">
        <v>57</v>
      </c>
      <c r="V25" s="16"/>
      <c r="X25" s="50">
        <f>IF(V11="GENERAL",0,(X22/2))</f>
        <v>0</v>
      </c>
      <c r="Y25" s="13"/>
    </row>
    <row r="26" spans="1:26" hidden="1" x14ac:dyDescent="0.2">
      <c r="B26" s="16"/>
      <c r="E26" s="16"/>
      <c r="G26" s="50"/>
      <c r="H26" s="13"/>
      <c r="O26" s="14"/>
      <c r="S26" s="16"/>
      <c r="V26" s="16"/>
      <c r="X26" s="50"/>
      <c r="Y26" s="13"/>
    </row>
    <row r="27" spans="1:26" hidden="1" x14ac:dyDescent="0.2">
      <c r="C27" s="16" t="s">
        <v>3</v>
      </c>
      <c r="D27" s="16"/>
      <c r="E27" s="10" t="str">
        <f>IF(E11="GENERAL","",(CONCATENATE(L27," / 2","  =  ")))</f>
        <v/>
      </c>
      <c r="G27" s="51">
        <f>G17/2</f>
        <v>610</v>
      </c>
      <c r="H27" s="52"/>
      <c r="L27" s="10" t="str">
        <f>TEXT(G17,"00.00")</f>
        <v>1220.00</v>
      </c>
      <c r="M27" s="10" t="str">
        <f>TEXT(N27,"00.00")</f>
        <v>610.00</v>
      </c>
      <c r="N27" s="10">
        <f>+L27/2</f>
        <v>610</v>
      </c>
      <c r="O27" s="14"/>
      <c r="T27" s="16" t="s">
        <v>3</v>
      </c>
      <c r="U27" s="16"/>
      <c r="V27" s="10" t="str">
        <f>E27</f>
        <v/>
      </c>
      <c r="X27" s="51">
        <f>X17/2</f>
        <v>610</v>
      </c>
      <c r="Y27" s="52"/>
    </row>
    <row r="28" spans="1:26" hidden="1" x14ac:dyDescent="0.2">
      <c r="C28" s="16" t="s">
        <v>22</v>
      </c>
      <c r="D28" s="16"/>
      <c r="G28" s="53">
        <f>G18/2</f>
        <v>42.5</v>
      </c>
      <c r="H28" s="13"/>
      <c r="L28" s="10" t="str">
        <f>TEXT(G18,"00.00")</f>
        <v>85.00</v>
      </c>
      <c r="M28" s="10" t="str">
        <f t="shared" ref="M28:M31" si="0">TEXT(N28,"00.00")</f>
        <v>42.50</v>
      </c>
      <c r="N28" s="10">
        <f t="shared" ref="N28:N31" si="1">+L28/2</f>
        <v>42.5</v>
      </c>
      <c r="O28" s="14"/>
      <c r="T28" s="16" t="s">
        <v>22</v>
      </c>
      <c r="U28" s="16"/>
      <c r="X28" s="53">
        <f>X18/2</f>
        <v>42.5</v>
      </c>
      <c r="Y28" s="13"/>
    </row>
    <row r="29" spans="1:26" hidden="1" x14ac:dyDescent="0.2">
      <c r="A29" s="54"/>
      <c r="B29" s="55"/>
      <c r="C29" s="16" t="s">
        <v>55</v>
      </c>
      <c r="D29" s="16"/>
      <c r="E29" s="10" t="str">
        <f>IF(E11="GENERAL","",(CONCATENATE(L29," / 2"," = ",M20," / 6  =  ")))</f>
        <v/>
      </c>
      <c r="G29" s="56">
        <f>G20/6/2</f>
        <v>9.6195023148148149</v>
      </c>
      <c r="H29" s="13"/>
      <c r="L29" s="10" t="str">
        <f t="shared" ref="L29:L31" si="2">TEXT(G20,"00.00")</f>
        <v>115.43</v>
      </c>
      <c r="M29" s="10" t="str">
        <f t="shared" si="0"/>
        <v>57.72</v>
      </c>
      <c r="N29" s="10">
        <f>+L29/2</f>
        <v>57.715000000000003</v>
      </c>
      <c r="O29" s="14"/>
      <c r="R29" s="54"/>
      <c r="S29" s="55"/>
      <c r="T29" s="16" t="s">
        <v>55</v>
      </c>
      <c r="U29" s="16"/>
      <c r="V29" s="10" t="str">
        <f>E29</f>
        <v/>
      </c>
      <c r="X29" s="56">
        <f>X20/6/2</f>
        <v>9.6195023148148149</v>
      </c>
      <c r="Y29" s="13"/>
    </row>
    <row r="30" spans="1:26" hidden="1" x14ac:dyDescent="0.2">
      <c r="A30" s="54"/>
      <c r="B30" s="55"/>
      <c r="C30" s="16" t="s">
        <v>23</v>
      </c>
      <c r="D30" s="16"/>
      <c r="E30" s="10" t="str">
        <f>IF(E11="GENERAL","",(CONCATENATE(L30," / 2","  =  ")))</f>
        <v/>
      </c>
      <c r="G30" s="53">
        <f>G21/6</f>
        <v>27.534722222222218</v>
      </c>
      <c r="H30" s="13"/>
      <c r="J30" s="57"/>
      <c r="L30" s="10" t="str">
        <f t="shared" si="2"/>
        <v>165.21</v>
      </c>
      <c r="M30" s="10" t="str">
        <f t="shared" si="0"/>
        <v>82.61</v>
      </c>
      <c r="N30" s="10">
        <f t="shared" si="1"/>
        <v>82.605000000000004</v>
      </c>
      <c r="O30" s="58"/>
      <c r="R30" s="54"/>
      <c r="S30" s="55"/>
      <c r="T30" s="16" t="s">
        <v>23</v>
      </c>
      <c r="U30" s="16"/>
      <c r="V30" s="10" t="str">
        <f>E30</f>
        <v/>
      </c>
      <c r="X30" s="53">
        <f>X21/6</f>
        <v>27.534722222222218</v>
      </c>
      <c r="Y30" s="13"/>
    </row>
    <row r="31" spans="1:26" hidden="1" x14ac:dyDescent="0.2">
      <c r="C31" s="16"/>
      <c r="D31" s="16"/>
      <c r="G31" s="59"/>
      <c r="H31" s="13"/>
      <c r="L31" s="10" t="str">
        <f t="shared" si="2"/>
        <v>1585.64</v>
      </c>
      <c r="M31" s="10" t="str">
        <f t="shared" si="0"/>
        <v>792.82</v>
      </c>
      <c r="N31" s="10">
        <f t="shared" si="1"/>
        <v>792.82</v>
      </c>
      <c r="O31" s="14"/>
      <c r="T31" s="16"/>
      <c r="U31" s="16"/>
      <c r="X31" s="59"/>
      <c r="Y31" s="13"/>
    </row>
    <row r="32" spans="1:26" x14ac:dyDescent="0.2">
      <c r="C32" s="16"/>
      <c r="D32" s="16"/>
      <c r="G32" s="60"/>
      <c r="H32" s="13"/>
      <c r="O32" s="14"/>
      <c r="T32" s="16"/>
      <c r="U32" s="16"/>
      <c r="X32" s="60"/>
      <c r="Y32" s="13"/>
    </row>
    <row r="33" spans="1:27" x14ac:dyDescent="0.2">
      <c r="B33" s="16" t="s">
        <v>5</v>
      </c>
      <c r="G33" s="61">
        <f>IF(E11="GENERAL",G22,G25)</f>
        <v>1585.6423611111111</v>
      </c>
      <c r="H33" s="13"/>
      <c r="O33" s="14"/>
      <c r="S33" s="16" t="s">
        <v>5</v>
      </c>
      <c r="X33" s="61">
        <f>IF(V11="GENERAL",X22,X25)</f>
        <v>1585.6423611111111</v>
      </c>
      <c r="Y33" s="13"/>
    </row>
    <row r="34" spans="1:27" x14ac:dyDescent="0.2">
      <c r="H34" s="13"/>
      <c r="O34" s="14"/>
      <c r="Y34" s="13"/>
    </row>
    <row r="35" spans="1:27" ht="12.75" customHeight="1" x14ac:dyDescent="0.2">
      <c r="B35" s="62"/>
      <c r="C35" s="62"/>
      <c r="D35" s="62"/>
      <c r="E35" s="62"/>
      <c r="F35" s="13"/>
      <c r="G35" s="13"/>
      <c r="H35" s="13"/>
      <c r="O35" s="14"/>
      <c r="S35" s="62"/>
      <c r="T35" s="62"/>
      <c r="U35" s="62"/>
      <c r="V35" s="62"/>
      <c r="W35" s="13"/>
      <c r="X35" s="13"/>
      <c r="Y35" s="13"/>
    </row>
    <row r="36" spans="1:27" s="68" customFormat="1" ht="12.75" customHeight="1" x14ac:dyDescent="0.2">
      <c r="A36" s="63"/>
      <c r="B36" s="64" t="s">
        <v>56</v>
      </c>
      <c r="C36" s="65"/>
      <c r="D36" s="66"/>
      <c r="E36" s="66" t="s">
        <v>21</v>
      </c>
      <c r="F36" s="66" t="s">
        <v>20</v>
      </c>
      <c r="G36" s="66" t="s">
        <v>18</v>
      </c>
      <c r="H36" s="66" t="s">
        <v>25</v>
      </c>
      <c r="I36" s="66" t="s">
        <v>7</v>
      </c>
      <c r="J36" s="67"/>
      <c r="O36" s="69"/>
      <c r="R36" s="63"/>
      <c r="S36" s="64" t="s">
        <v>56</v>
      </c>
      <c r="T36" s="65"/>
      <c r="U36" s="66"/>
      <c r="V36" s="66" t="s">
        <v>21</v>
      </c>
      <c r="W36" s="66" t="s">
        <v>20</v>
      </c>
      <c r="X36" s="66" t="s">
        <v>18</v>
      </c>
      <c r="Y36" s="66" t="s">
        <v>25</v>
      </c>
      <c r="Z36" s="66" t="s">
        <v>7</v>
      </c>
    </row>
    <row r="37" spans="1:27" s="68" customFormat="1" ht="18.75" customHeight="1" x14ac:dyDescent="0.2">
      <c r="A37" s="63"/>
      <c r="B37" s="70"/>
      <c r="C37" s="71"/>
      <c r="D37" s="72"/>
      <c r="E37" s="72"/>
      <c r="F37" s="72"/>
      <c r="G37" s="72"/>
      <c r="H37" s="66"/>
      <c r="I37" s="72"/>
      <c r="J37" s="67"/>
      <c r="O37" s="69"/>
      <c r="R37" s="63"/>
      <c r="S37" s="70"/>
      <c r="T37" s="71"/>
      <c r="U37" s="72"/>
      <c r="V37" s="72"/>
      <c r="W37" s="72"/>
      <c r="X37" s="72"/>
      <c r="Y37" s="66"/>
      <c r="Z37" s="72"/>
    </row>
    <row r="38" spans="1:27" s="81" customFormat="1" ht="27" customHeight="1" x14ac:dyDescent="0.2">
      <c r="A38" s="73"/>
      <c r="B38" s="74" t="str">
        <f>VLOOKUP(H1,TAB,11,0)</f>
        <v>BANCO DE CREDITO DEL PERU</v>
      </c>
      <c r="C38" s="75"/>
      <c r="D38" s="76"/>
      <c r="E38" s="76" t="str">
        <f>VLOOKUP(H1,TAB,12,0)</f>
        <v>000000000000000</v>
      </c>
      <c r="F38" s="77">
        <f>G33</f>
        <v>1585.6423611111111</v>
      </c>
      <c r="G38" s="78">
        <f>VLOOKUP(H1,TAB,13,0)</f>
        <v>6</v>
      </c>
      <c r="H38" s="78">
        <f>VLOOKUP(H1,TAB,14,0)</f>
        <v>0</v>
      </c>
      <c r="I38" s="79">
        <f>((F38/12)*G38)+((F38/12/30)*H38)</f>
        <v>792.82118055555554</v>
      </c>
      <c r="J38" s="80"/>
      <c r="O38" s="82"/>
      <c r="R38" s="73"/>
      <c r="S38" s="74" t="str">
        <f>VLOOKUP(I1,TAB,11,0)</f>
        <v>BANCO DE CREDITO DEL PERU</v>
      </c>
      <c r="T38" s="75"/>
      <c r="U38" s="76"/>
      <c r="V38" s="76" t="str">
        <f>VLOOKUP(I1,TAB,12,0)</f>
        <v>000000000000000</v>
      </c>
      <c r="W38" s="77">
        <f>X33</f>
        <v>1585.6423611111111</v>
      </c>
      <c r="X38" s="78">
        <f>VLOOKUP(I1,TAB,13,0)</f>
        <v>6</v>
      </c>
      <c r="Y38" s="78">
        <f>VLOOKUP(I1,TAB,14,0)</f>
        <v>0</v>
      </c>
      <c r="Z38" s="79">
        <f>((W38/12)*X38)+((W38/12/30)*Y38)</f>
        <v>792.82118055555554</v>
      </c>
    </row>
    <row r="39" spans="1:27" x14ac:dyDescent="0.2">
      <c r="O39" s="14"/>
    </row>
    <row r="40" spans="1:27" x14ac:dyDescent="0.2">
      <c r="C40" s="16"/>
      <c r="D40" s="16"/>
      <c r="H40" s="16" t="s">
        <v>6</v>
      </c>
      <c r="I40" s="83">
        <f>I38</f>
        <v>792.82118055555554</v>
      </c>
      <c r="J40" s="84"/>
      <c r="L40" s="85"/>
      <c r="O40" s="86"/>
      <c r="T40" s="16"/>
      <c r="U40" s="16"/>
      <c r="Y40" s="16" t="s">
        <v>6</v>
      </c>
      <c r="Z40" s="87">
        <f>Z38</f>
        <v>792.82118055555554</v>
      </c>
    </row>
    <row r="41" spans="1:27" x14ac:dyDescent="0.2">
      <c r="E41" s="88"/>
      <c r="O41" s="14"/>
      <c r="V41" s="88"/>
    </row>
    <row r="42" spans="1:27" x14ac:dyDescent="0.2">
      <c r="B42" s="16" t="s">
        <v>28</v>
      </c>
      <c r="C42" s="16" t="str">
        <f>Hoja1!C1</f>
        <v>SETECIENTOS NOVENTA Y DOS NUEVOS SOLES CON 82 CENTIMOS</v>
      </c>
      <c r="D42" s="89"/>
      <c r="E42" s="90"/>
      <c r="O42" s="14"/>
      <c r="S42" s="16" t="s">
        <v>28</v>
      </c>
      <c r="T42" s="16" t="str">
        <f>C42</f>
        <v>SETECIENTOS NOVENTA Y DOS NUEVOS SOLES CON 82 CENTIMOS</v>
      </c>
      <c r="U42" s="89"/>
      <c r="V42" s="90"/>
    </row>
    <row r="43" spans="1:27" x14ac:dyDescent="0.2">
      <c r="O43" s="14"/>
    </row>
    <row r="44" spans="1:27" x14ac:dyDescent="0.2">
      <c r="F44" s="88"/>
      <c r="G44" s="91">
        <f>+TABLAS!D3</f>
        <v>42689</v>
      </c>
      <c r="H44" s="91"/>
      <c r="I44" s="91"/>
      <c r="O44" s="14"/>
      <c r="W44" s="88"/>
      <c r="X44" s="88"/>
      <c r="Y44" s="91">
        <f>+G44</f>
        <v>42689</v>
      </c>
      <c r="Z44" s="91">
        <f>+G44</f>
        <v>42689</v>
      </c>
      <c r="AA44" s="91"/>
    </row>
    <row r="45" spans="1:27" x14ac:dyDescent="0.2">
      <c r="O45" s="14"/>
    </row>
    <row r="46" spans="1:27" x14ac:dyDescent="0.2">
      <c r="O46" s="14"/>
    </row>
    <row r="47" spans="1:27" ht="15.75" x14ac:dyDescent="0.25">
      <c r="C47" s="92" t="str">
        <f>+TABLAS!B1</f>
        <v>SOL Y MAR SAC</v>
      </c>
      <c r="D47" s="93"/>
      <c r="E47" s="93"/>
      <c r="F47" s="93"/>
      <c r="O47" s="14"/>
      <c r="T47" s="92" t="str">
        <f>+C47</f>
        <v>SOL Y MAR SAC</v>
      </c>
      <c r="U47" s="93"/>
      <c r="V47" s="93"/>
      <c r="W47" s="93"/>
    </row>
    <row r="48" spans="1:27" ht="15.75" x14ac:dyDescent="0.25">
      <c r="C48" s="92"/>
      <c r="D48" s="93"/>
      <c r="E48" s="93"/>
      <c r="F48" s="93"/>
      <c r="O48" s="14"/>
      <c r="T48" s="92"/>
      <c r="U48" s="93"/>
      <c r="V48" s="93"/>
      <c r="W48" s="93"/>
    </row>
    <row r="49" spans="3:26" x14ac:dyDescent="0.2">
      <c r="O49" s="14"/>
    </row>
    <row r="50" spans="3:26" x14ac:dyDescent="0.2">
      <c r="O50" s="14"/>
    </row>
    <row r="51" spans="3:26" ht="13.5" thickBot="1" x14ac:dyDescent="0.25">
      <c r="C51" s="94"/>
      <c r="F51" s="95"/>
      <c r="G51" s="95"/>
      <c r="H51" s="95"/>
      <c r="O51" s="14"/>
      <c r="T51" s="94"/>
      <c r="W51" s="95"/>
      <c r="X51" s="95"/>
      <c r="Y51" s="95"/>
    </row>
    <row r="52" spans="3:26" ht="13.5" thickTop="1" x14ac:dyDescent="0.2">
      <c r="C52" s="38" t="str">
        <f>+TABLAS!B2</f>
        <v>ARTURO RODRIGUEZ</v>
      </c>
      <c r="D52" s="16"/>
      <c r="E52" s="16"/>
      <c r="F52" s="96" t="str">
        <f>E8</f>
        <v>JUAN CARLOS</v>
      </c>
      <c r="G52" s="96"/>
      <c r="H52" s="96"/>
      <c r="I52" s="16"/>
      <c r="J52" s="17"/>
      <c r="O52" s="97"/>
      <c r="T52" s="38" t="str">
        <f>+C52</f>
        <v>ARTURO RODRIGUEZ</v>
      </c>
      <c r="U52" s="16"/>
      <c r="V52" s="16"/>
      <c r="W52" s="96" t="str">
        <f>V8</f>
        <v>JUAN CARLOS</v>
      </c>
      <c r="X52" s="96"/>
      <c r="Y52" s="96"/>
      <c r="Z52" s="16"/>
    </row>
    <row r="53" spans="3:26" x14ac:dyDescent="0.2">
      <c r="C53" s="38" t="str">
        <f>+TABLAS!B3</f>
        <v>GERENTE GENERAL</v>
      </c>
      <c r="D53" s="16"/>
      <c r="E53" s="16"/>
      <c r="F53" s="98" t="s">
        <v>17</v>
      </c>
      <c r="G53" s="73" t="str">
        <f>VLOOKUP(H1,TAB,15,0)</f>
        <v>00000000</v>
      </c>
      <c r="H53" s="99"/>
      <c r="I53" s="16"/>
      <c r="J53" s="17"/>
      <c r="O53" s="97"/>
      <c r="T53" s="38" t="str">
        <f>+C53</f>
        <v>GERENTE GENERAL</v>
      </c>
      <c r="U53" s="16"/>
      <c r="V53" s="16"/>
      <c r="W53" s="98" t="s">
        <v>17</v>
      </c>
      <c r="X53" s="73" t="str">
        <f>VLOOKUP(I1,TAB,15,0)</f>
        <v>00000000</v>
      </c>
      <c r="Y53" s="99"/>
      <c r="Z53" s="16"/>
    </row>
    <row r="54" spans="3:26" x14ac:dyDescent="0.2">
      <c r="C54" s="38"/>
      <c r="D54" s="16"/>
      <c r="E54" s="16"/>
      <c r="F54" s="98"/>
      <c r="G54" s="73"/>
      <c r="H54" s="99"/>
      <c r="I54" s="16"/>
      <c r="J54" s="17"/>
      <c r="O54" s="97"/>
      <c r="T54" s="38"/>
      <c r="U54" s="16"/>
      <c r="V54" s="16"/>
      <c r="W54" s="98"/>
      <c r="X54" s="73"/>
      <c r="Y54" s="99"/>
      <c r="Z54" s="16"/>
    </row>
    <row r="55" spans="3:26" x14ac:dyDescent="0.2">
      <c r="C55" s="38"/>
      <c r="D55" s="16"/>
      <c r="E55" s="16"/>
      <c r="F55" s="98"/>
      <c r="G55" s="73"/>
      <c r="H55" s="99"/>
      <c r="I55" s="16"/>
      <c r="J55" s="17"/>
      <c r="O55" s="16"/>
      <c r="T55" s="38"/>
      <c r="U55" s="16"/>
      <c r="V55" s="16"/>
      <c r="W55" s="98"/>
      <c r="X55" s="73"/>
      <c r="Y55" s="99"/>
      <c r="Z55" s="16"/>
    </row>
    <row r="56" spans="3:26" x14ac:dyDescent="0.2">
      <c r="C56" s="38"/>
      <c r="D56" s="16"/>
      <c r="E56" s="16"/>
      <c r="F56" s="98"/>
      <c r="G56" s="73"/>
      <c r="H56" s="99"/>
      <c r="I56" s="16"/>
      <c r="J56" s="17"/>
      <c r="O56" s="16"/>
      <c r="T56" s="38"/>
      <c r="U56" s="16"/>
      <c r="V56" s="16"/>
      <c r="W56" s="98"/>
      <c r="X56" s="73"/>
      <c r="Y56" s="99"/>
      <c r="Z56" s="16"/>
    </row>
    <row r="57" spans="3:26" x14ac:dyDescent="0.2">
      <c r="C57" s="38"/>
      <c r="D57" s="16"/>
      <c r="E57" s="16"/>
      <c r="F57" s="98"/>
      <c r="G57" s="73"/>
      <c r="H57" s="99"/>
      <c r="I57" s="16"/>
      <c r="J57" s="17"/>
      <c r="O57" s="16"/>
      <c r="T57" s="38"/>
      <c r="U57" s="16"/>
      <c r="V57" s="16"/>
      <c r="W57" s="98"/>
      <c r="X57" s="73"/>
      <c r="Y57" s="99"/>
      <c r="Z57" s="16"/>
    </row>
    <row r="58" spans="3:26" x14ac:dyDescent="0.2">
      <c r="C58" s="38"/>
      <c r="D58" s="16"/>
      <c r="E58" s="16"/>
      <c r="F58" s="98"/>
      <c r="G58" s="73"/>
      <c r="H58" s="99"/>
      <c r="I58" s="16"/>
      <c r="J58" s="17"/>
      <c r="O58" s="16"/>
      <c r="T58" s="38"/>
      <c r="U58" s="16"/>
      <c r="V58" s="16"/>
      <c r="W58" s="98"/>
      <c r="X58" s="73"/>
      <c r="Y58" s="99"/>
      <c r="Z58" s="16"/>
    </row>
    <row r="59" spans="3:26" x14ac:dyDescent="0.2">
      <c r="C59" s="38"/>
      <c r="D59" s="16"/>
      <c r="E59" s="16"/>
      <c r="F59" s="98"/>
      <c r="G59" s="73"/>
      <c r="H59" s="99"/>
      <c r="I59" s="16"/>
      <c r="J59" s="17"/>
      <c r="O59" s="16"/>
      <c r="T59" s="38"/>
      <c r="U59" s="16"/>
      <c r="V59" s="16"/>
      <c r="W59" s="98"/>
      <c r="X59" s="73"/>
      <c r="Y59" s="99"/>
      <c r="Z59" s="16"/>
    </row>
    <row r="60" spans="3:26" x14ac:dyDescent="0.2">
      <c r="C60" s="38"/>
      <c r="D60" s="16"/>
      <c r="E60" s="16"/>
      <c r="F60" s="98"/>
      <c r="G60" s="73"/>
      <c r="H60" s="99"/>
      <c r="I60" s="16"/>
      <c r="J60" s="17"/>
      <c r="O60" s="16"/>
      <c r="T60" s="38"/>
      <c r="U60" s="16"/>
      <c r="V60" s="16"/>
      <c r="W60" s="98"/>
      <c r="X60" s="73"/>
      <c r="Y60" s="99"/>
      <c r="Z60" s="16"/>
    </row>
    <row r="61" spans="3:26" x14ac:dyDescent="0.2">
      <c r="C61" s="38"/>
      <c r="D61" s="16"/>
      <c r="E61" s="16"/>
      <c r="F61" s="98"/>
      <c r="G61" s="73"/>
      <c r="H61" s="99"/>
      <c r="I61" s="16"/>
      <c r="J61" s="17"/>
      <c r="O61" s="16"/>
      <c r="T61" s="38"/>
      <c r="U61" s="16"/>
      <c r="V61" s="16"/>
      <c r="W61" s="98"/>
      <c r="X61" s="73"/>
      <c r="Y61" s="99"/>
      <c r="Z61" s="16"/>
    </row>
    <row r="62" spans="3:26" x14ac:dyDescent="0.2">
      <c r="C62" s="38"/>
      <c r="D62" s="16"/>
      <c r="E62" s="16"/>
      <c r="F62" s="98"/>
      <c r="G62" s="73"/>
      <c r="H62" s="99"/>
      <c r="I62" s="16"/>
      <c r="J62" s="17"/>
      <c r="O62" s="16"/>
      <c r="T62" s="38"/>
      <c r="U62" s="16"/>
      <c r="V62" s="16"/>
      <c r="W62" s="98"/>
      <c r="X62" s="73"/>
      <c r="Y62" s="99"/>
      <c r="Z62" s="16"/>
    </row>
    <row r="63" spans="3:26" x14ac:dyDescent="0.2">
      <c r="C63" s="38"/>
      <c r="D63" s="16"/>
      <c r="E63" s="16"/>
      <c r="F63" s="98"/>
      <c r="G63" s="73"/>
      <c r="H63" s="99"/>
      <c r="I63" s="16"/>
      <c r="J63" s="17"/>
      <c r="O63" s="16"/>
      <c r="T63" s="38"/>
      <c r="U63" s="16"/>
      <c r="V63" s="16"/>
      <c r="W63" s="98"/>
      <c r="X63" s="73"/>
      <c r="Y63" s="99"/>
      <c r="Z63" s="16"/>
    </row>
    <row r="64" spans="3:26" x14ac:dyDescent="0.2">
      <c r="C64" s="38"/>
      <c r="D64" s="16"/>
      <c r="E64" s="16"/>
      <c r="F64" s="98"/>
      <c r="G64" s="73"/>
      <c r="H64" s="99"/>
      <c r="I64" s="16"/>
      <c r="J64" s="17"/>
      <c r="O64" s="16"/>
      <c r="T64" s="38"/>
      <c r="U64" s="16"/>
      <c r="V64" s="16"/>
      <c r="W64" s="98"/>
      <c r="X64" s="73"/>
      <c r="Y64" s="99"/>
      <c r="Z64" s="16"/>
    </row>
    <row r="65" spans="1:26" x14ac:dyDescent="0.2">
      <c r="C65" s="38"/>
      <c r="D65" s="16"/>
      <c r="E65" s="16"/>
      <c r="F65" s="98"/>
      <c r="G65" s="73"/>
      <c r="H65" s="99"/>
      <c r="I65" s="16"/>
      <c r="J65" s="17"/>
      <c r="O65" s="16"/>
      <c r="T65" s="38"/>
      <c r="U65" s="16"/>
      <c r="V65" s="16"/>
      <c r="W65" s="98"/>
      <c r="X65" s="73"/>
      <c r="Y65" s="99"/>
      <c r="Z65" s="16"/>
    </row>
    <row r="66" spans="1:26" x14ac:dyDescent="0.2">
      <c r="C66" s="38"/>
      <c r="D66" s="16"/>
      <c r="E66" s="16"/>
      <c r="F66" s="98"/>
      <c r="G66" s="73"/>
      <c r="H66" s="99"/>
      <c r="I66" s="16"/>
      <c r="J66" s="17"/>
      <c r="O66" s="16"/>
      <c r="T66" s="38"/>
      <c r="U66" s="16"/>
      <c r="V66" s="16"/>
      <c r="W66" s="98"/>
      <c r="X66" s="73"/>
      <c r="Y66" s="99"/>
      <c r="Z66" s="16"/>
    </row>
    <row r="67" spans="1:26" x14ac:dyDescent="0.2">
      <c r="C67" s="38"/>
      <c r="D67" s="16"/>
      <c r="E67" s="16"/>
      <c r="F67" s="98"/>
      <c r="G67" s="73"/>
      <c r="H67" s="99"/>
      <c r="I67" s="16"/>
      <c r="J67" s="17"/>
      <c r="O67" s="16"/>
      <c r="T67" s="38"/>
      <c r="U67" s="16"/>
      <c r="V67" s="16"/>
      <c r="W67" s="98"/>
      <c r="X67" s="73"/>
      <c r="Y67" s="99"/>
      <c r="Z67" s="16"/>
    </row>
    <row r="68" spans="1:26" x14ac:dyDescent="0.2">
      <c r="C68" s="38"/>
      <c r="D68" s="16"/>
      <c r="E68" s="16"/>
      <c r="F68" s="98"/>
      <c r="G68" s="73"/>
      <c r="H68" s="99"/>
      <c r="I68" s="16"/>
      <c r="J68" s="17"/>
      <c r="O68" s="16"/>
      <c r="T68" s="38"/>
      <c r="U68" s="16"/>
      <c r="V68" s="16"/>
      <c r="W68" s="98"/>
      <c r="X68" s="73"/>
      <c r="Y68" s="99"/>
      <c r="Z68" s="16"/>
    </row>
    <row r="69" spans="1:26" x14ac:dyDescent="0.2">
      <c r="C69" s="38"/>
      <c r="D69" s="16"/>
      <c r="E69" s="16"/>
      <c r="F69" s="98"/>
      <c r="G69" s="73"/>
      <c r="H69" s="99"/>
      <c r="I69" s="16"/>
      <c r="J69" s="17"/>
      <c r="O69" s="16"/>
      <c r="T69" s="38"/>
      <c r="U69" s="16"/>
      <c r="V69" s="16"/>
      <c r="W69" s="98"/>
      <c r="X69" s="73"/>
      <c r="Y69" s="99"/>
      <c r="Z69" s="16"/>
    </row>
    <row r="70" spans="1:26" x14ac:dyDescent="0.2">
      <c r="C70" s="38"/>
      <c r="D70" s="16"/>
      <c r="E70" s="16"/>
      <c r="F70" s="98"/>
      <c r="G70" s="73"/>
      <c r="H70" s="99"/>
      <c r="I70" s="16"/>
      <c r="J70" s="17"/>
      <c r="O70" s="16"/>
      <c r="T70" s="38"/>
      <c r="U70" s="16"/>
      <c r="V70" s="16"/>
      <c r="W70" s="98"/>
      <c r="X70" s="73"/>
      <c r="Y70" s="99"/>
      <c r="Z70" s="16"/>
    </row>
    <row r="71" spans="1:26" x14ac:dyDescent="0.2">
      <c r="C71" s="38"/>
      <c r="D71" s="16"/>
      <c r="E71" s="16"/>
      <c r="F71" s="98"/>
      <c r="G71" s="73"/>
      <c r="H71" s="99"/>
      <c r="I71" s="16"/>
      <c r="J71" s="17"/>
      <c r="O71" s="16"/>
      <c r="T71" s="38"/>
      <c r="U71" s="16"/>
      <c r="V71" s="16"/>
      <c r="W71" s="98"/>
      <c r="X71" s="73"/>
      <c r="Y71" s="99"/>
      <c r="Z71" s="16"/>
    </row>
    <row r="72" spans="1:26" x14ac:dyDescent="0.2">
      <c r="C72" s="38"/>
      <c r="D72" s="16"/>
      <c r="E72" s="16"/>
      <c r="F72" s="98"/>
      <c r="G72" s="73"/>
      <c r="H72" s="99"/>
      <c r="I72" s="16"/>
      <c r="J72" s="17"/>
      <c r="O72" s="16"/>
      <c r="T72" s="38"/>
      <c r="U72" s="16"/>
      <c r="V72" s="16"/>
      <c r="W72" s="98"/>
      <c r="X72" s="73"/>
      <c r="Y72" s="99"/>
      <c r="Z72" s="16"/>
    </row>
    <row r="77" spans="1:26" x14ac:dyDescent="0.2">
      <c r="A77" s="10"/>
      <c r="R77" s="10"/>
    </row>
    <row r="78" spans="1:26" x14ac:dyDescent="0.2">
      <c r="A78" s="10"/>
      <c r="R78" s="10"/>
    </row>
    <row r="79" spans="1:26" x14ac:dyDescent="0.2">
      <c r="A79" s="10"/>
      <c r="R79" s="10"/>
    </row>
    <row r="80" spans="1:26" x14ac:dyDescent="0.2">
      <c r="A80" s="10"/>
      <c r="R80" s="10"/>
    </row>
    <row r="81" spans="1:18" x14ac:dyDescent="0.2">
      <c r="A81" s="10"/>
      <c r="R81" s="10"/>
    </row>
    <row r="82" spans="1:18" x14ac:dyDescent="0.2">
      <c r="A82" s="10"/>
      <c r="R82" s="10"/>
    </row>
    <row r="83" spans="1:18" x14ac:dyDescent="0.2">
      <c r="A83" s="10"/>
      <c r="R83" s="10"/>
    </row>
    <row r="84" spans="1:18" x14ac:dyDescent="0.2">
      <c r="A84" s="10"/>
      <c r="R84" s="10"/>
    </row>
    <row r="85" spans="1:18" x14ac:dyDescent="0.2">
      <c r="A85" s="10"/>
      <c r="R85" s="10"/>
    </row>
    <row r="86" spans="1:18" x14ac:dyDescent="0.2">
      <c r="A86" s="10"/>
      <c r="R86" s="10"/>
    </row>
    <row r="87" spans="1:18" x14ac:dyDescent="0.2">
      <c r="A87" s="10"/>
      <c r="R87" s="10"/>
    </row>
    <row r="88" spans="1:18" x14ac:dyDescent="0.2">
      <c r="A88" s="10"/>
      <c r="R88" s="10"/>
    </row>
    <row r="89" spans="1:18" x14ac:dyDescent="0.2">
      <c r="A89" s="10"/>
      <c r="R89" s="10"/>
    </row>
    <row r="90" spans="1:18" x14ac:dyDescent="0.2">
      <c r="A90" s="10"/>
      <c r="R90" s="10"/>
    </row>
    <row r="91" spans="1:18" x14ac:dyDescent="0.2">
      <c r="A91" s="10"/>
      <c r="R91" s="10"/>
    </row>
    <row r="92" spans="1:18" x14ac:dyDescent="0.2">
      <c r="A92" s="10"/>
      <c r="R92" s="10"/>
    </row>
    <row r="93" spans="1:18" x14ac:dyDescent="0.2">
      <c r="A93" s="10"/>
      <c r="R93" s="10"/>
    </row>
    <row r="94" spans="1:18" x14ac:dyDescent="0.2">
      <c r="A94" s="10"/>
      <c r="R94" s="10"/>
    </row>
    <row r="95" spans="1:18" x14ac:dyDescent="0.2">
      <c r="A95" s="10"/>
      <c r="R95" s="10"/>
    </row>
    <row r="96" spans="1:18" x14ac:dyDescent="0.2">
      <c r="A96" s="10"/>
      <c r="R96" s="10"/>
    </row>
    <row r="97" spans="1:18" x14ac:dyDescent="0.2">
      <c r="A97" s="10"/>
      <c r="R97" s="10"/>
    </row>
    <row r="98" spans="1:18" x14ac:dyDescent="0.2">
      <c r="A98" s="10"/>
      <c r="R98" s="10"/>
    </row>
    <row r="99" spans="1:18" x14ac:dyDescent="0.2">
      <c r="A99" s="10"/>
      <c r="R99" s="10"/>
    </row>
    <row r="100" spans="1:18" x14ac:dyDescent="0.2">
      <c r="A100" s="10"/>
      <c r="R100" s="10"/>
    </row>
    <row r="101" spans="1:18" x14ac:dyDescent="0.2">
      <c r="A101" s="10"/>
      <c r="R101" s="10"/>
    </row>
    <row r="102" spans="1:18" x14ac:dyDescent="0.2">
      <c r="A102" s="10"/>
      <c r="R102" s="10"/>
    </row>
    <row r="103" spans="1:18" x14ac:dyDescent="0.2">
      <c r="A103" s="10"/>
      <c r="R103" s="10"/>
    </row>
    <row r="104" spans="1:18" x14ac:dyDescent="0.2">
      <c r="A104" s="10"/>
      <c r="R104" s="10"/>
    </row>
    <row r="105" spans="1:18" x14ac:dyDescent="0.2">
      <c r="A105" s="10"/>
      <c r="R105" s="10"/>
    </row>
    <row r="106" spans="1:18" x14ac:dyDescent="0.2">
      <c r="A106" s="10"/>
      <c r="R106" s="10"/>
    </row>
    <row r="107" spans="1:18" x14ac:dyDescent="0.2">
      <c r="A107" s="10"/>
      <c r="R107" s="10"/>
    </row>
    <row r="108" spans="1:18" x14ac:dyDescent="0.2">
      <c r="A108" s="10"/>
      <c r="R108" s="10"/>
    </row>
    <row r="109" spans="1:18" x14ac:dyDescent="0.2">
      <c r="A109" s="10"/>
      <c r="R109" s="10"/>
    </row>
    <row r="110" spans="1:18" x14ac:dyDescent="0.2">
      <c r="A110" s="10"/>
      <c r="R110" s="10"/>
    </row>
    <row r="111" spans="1:18" x14ac:dyDescent="0.2">
      <c r="A111" s="10"/>
      <c r="R111" s="10"/>
    </row>
    <row r="112" spans="1:18" x14ac:dyDescent="0.2">
      <c r="A112" s="10"/>
      <c r="R112" s="10"/>
    </row>
    <row r="113" spans="1:18" x14ac:dyDescent="0.2">
      <c r="A113" s="10"/>
      <c r="R113" s="10"/>
    </row>
    <row r="114" spans="1:18" x14ac:dyDescent="0.2">
      <c r="A114" s="10"/>
      <c r="R114" s="10"/>
    </row>
    <row r="115" spans="1:18" x14ac:dyDescent="0.2">
      <c r="A115" s="10"/>
      <c r="R115" s="10"/>
    </row>
    <row r="116" spans="1:18" x14ac:dyDescent="0.2">
      <c r="A116" s="10"/>
      <c r="R116" s="10"/>
    </row>
    <row r="117" spans="1:18" x14ac:dyDescent="0.2">
      <c r="A117" s="10"/>
      <c r="R117" s="10"/>
    </row>
    <row r="118" spans="1:18" x14ac:dyDescent="0.2">
      <c r="A118" s="10"/>
      <c r="R118" s="10"/>
    </row>
    <row r="119" spans="1:18" x14ac:dyDescent="0.2">
      <c r="A119" s="10"/>
      <c r="R119" s="10"/>
    </row>
    <row r="120" spans="1:18" x14ac:dyDescent="0.2">
      <c r="A120" s="10"/>
      <c r="R120" s="10"/>
    </row>
    <row r="121" spans="1:18" x14ac:dyDescent="0.2">
      <c r="A121" s="10"/>
      <c r="R121" s="10"/>
    </row>
    <row r="122" spans="1:18" x14ac:dyDescent="0.2">
      <c r="A122" s="10"/>
      <c r="R122" s="10"/>
    </row>
    <row r="123" spans="1:18" x14ac:dyDescent="0.2">
      <c r="A123" s="10"/>
      <c r="R123" s="10"/>
    </row>
    <row r="124" spans="1:18" x14ac:dyDescent="0.2">
      <c r="A124" s="10"/>
      <c r="R124" s="10"/>
    </row>
    <row r="125" spans="1:18" x14ac:dyDescent="0.2">
      <c r="A125" s="10"/>
      <c r="R125" s="10"/>
    </row>
    <row r="126" spans="1:18" x14ac:dyDescent="0.2">
      <c r="A126" s="10"/>
      <c r="R126" s="10"/>
    </row>
  </sheetData>
  <sheetProtection password="C797" sheet="1" formatCells="0" formatColumns="0" formatRows="0" insertColumns="0" insertRows="0" insertHyperlinks="0" deleteColumns="0" deleteRows="0" selectLockedCells="1" sort="0" autoFilter="0" pivotTables="0" selectUnlockedCells="1"/>
  <mergeCells count="36">
    <mergeCell ref="Y44:AA44"/>
    <mergeCell ref="Q3:Q4"/>
    <mergeCell ref="K3:K4"/>
    <mergeCell ref="L3:L4"/>
    <mergeCell ref="M3:M4"/>
    <mergeCell ref="C47:C48"/>
    <mergeCell ref="G44:I44"/>
    <mergeCell ref="F51:H51"/>
    <mergeCell ref="F52:H52"/>
    <mergeCell ref="N3:N4"/>
    <mergeCell ref="I36:I37"/>
    <mergeCell ref="E36:E37"/>
    <mergeCell ref="F36:F37"/>
    <mergeCell ref="G36:G37"/>
    <mergeCell ref="H36:H37"/>
    <mergeCell ref="A4:I5"/>
    <mergeCell ref="D36:D37"/>
    <mergeCell ref="B36:C37"/>
    <mergeCell ref="B38:C38"/>
    <mergeCell ref="B35:E35"/>
    <mergeCell ref="A1:C1"/>
    <mergeCell ref="H1:H2"/>
    <mergeCell ref="I1:I2"/>
    <mergeCell ref="W52:Y52"/>
    <mergeCell ref="W51:Y51"/>
    <mergeCell ref="R4:Z5"/>
    <mergeCell ref="S35:V35"/>
    <mergeCell ref="S36:T37"/>
    <mergeCell ref="U36:U37"/>
    <mergeCell ref="V36:V37"/>
    <mergeCell ref="W36:W37"/>
    <mergeCell ref="X36:X37"/>
    <mergeCell ref="Y36:Y37"/>
    <mergeCell ref="Z36:Z37"/>
    <mergeCell ref="S38:T38"/>
    <mergeCell ref="T47:T48"/>
  </mergeCells>
  <hyperlinks>
    <hyperlink ref="A1" r:id="rId1" display="WWW.ALERTA-LABORAL.COM"/>
    <hyperlink ref="P1" r:id="rId2" tooltip="Alerta Laboral"/>
  </hyperlinks>
  <pageMargins left="0.98425196850393704" right="0" top="0.39370078740157483" bottom="0.39370078740157483" header="0" footer="0"/>
  <pageSetup paperSize="9" scale="55" orientation="landscape" horizontalDpi="300" verticalDpi="300"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D24"/>
  <sheetViews>
    <sheetView workbookViewId="0">
      <selection activeCell="C12" sqref="C12"/>
    </sheetView>
  </sheetViews>
  <sheetFormatPr baseColWidth="10" defaultRowHeight="12.75" x14ac:dyDescent="0.2"/>
  <cols>
    <col min="1" max="1" width="21.85546875" bestFit="1" customWidth="1"/>
    <col min="2" max="2" width="3.5703125" bestFit="1" customWidth="1"/>
    <col min="3" max="3" width="89.85546875" bestFit="1" customWidth="1"/>
    <col min="257" max="257" width="21.85546875" bestFit="1" customWidth="1"/>
    <col min="258" max="258" width="3.5703125" bestFit="1" customWidth="1"/>
    <col min="259" max="259" width="89.85546875" bestFit="1" customWidth="1"/>
    <col min="513" max="513" width="21.85546875" bestFit="1" customWidth="1"/>
    <col min="514" max="514" width="3.5703125" bestFit="1" customWidth="1"/>
    <col min="515" max="515" width="89.85546875" bestFit="1" customWidth="1"/>
    <col min="769" max="769" width="21.85546875" bestFit="1" customWidth="1"/>
    <col min="770" max="770" width="3.5703125" bestFit="1" customWidth="1"/>
    <col min="771" max="771" width="89.85546875" bestFit="1" customWidth="1"/>
    <col min="1025" max="1025" width="21.85546875" bestFit="1" customWidth="1"/>
    <col min="1026" max="1026" width="3.5703125" bestFit="1" customWidth="1"/>
    <col min="1027" max="1027" width="89.85546875" bestFit="1" customWidth="1"/>
    <col min="1281" max="1281" width="21.85546875" bestFit="1" customWidth="1"/>
    <col min="1282" max="1282" width="3.5703125" bestFit="1" customWidth="1"/>
    <col min="1283" max="1283" width="89.85546875" bestFit="1" customWidth="1"/>
    <col min="1537" max="1537" width="21.85546875" bestFit="1" customWidth="1"/>
    <col min="1538" max="1538" width="3.5703125" bestFit="1" customWidth="1"/>
    <col min="1539" max="1539" width="89.85546875" bestFit="1" customWidth="1"/>
    <col min="1793" max="1793" width="21.85546875" bestFit="1" customWidth="1"/>
    <col min="1794" max="1794" width="3.5703125" bestFit="1" customWidth="1"/>
    <col min="1795" max="1795" width="89.85546875" bestFit="1" customWidth="1"/>
    <col min="2049" max="2049" width="21.85546875" bestFit="1" customWidth="1"/>
    <col min="2050" max="2050" width="3.5703125" bestFit="1" customWidth="1"/>
    <col min="2051" max="2051" width="89.85546875" bestFit="1" customWidth="1"/>
    <col min="2305" max="2305" width="21.85546875" bestFit="1" customWidth="1"/>
    <col min="2306" max="2306" width="3.5703125" bestFit="1" customWidth="1"/>
    <col min="2307" max="2307" width="89.85546875" bestFit="1" customWidth="1"/>
    <col min="2561" max="2561" width="21.85546875" bestFit="1" customWidth="1"/>
    <col min="2562" max="2562" width="3.5703125" bestFit="1" customWidth="1"/>
    <col min="2563" max="2563" width="89.85546875" bestFit="1" customWidth="1"/>
    <col min="2817" max="2817" width="21.85546875" bestFit="1" customWidth="1"/>
    <col min="2818" max="2818" width="3.5703125" bestFit="1" customWidth="1"/>
    <col min="2819" max="2819" width="89.85546875" bestFit="1" customWidth="1"/>
    <col min="3073" max="3073" width="21.85546875" bestFit="1" customWidth="1"/>
    <col min="3074" max="3074" width="3.5703125" bestFit="1" customWidth="1"/>
    <col min="3075" max="3075" width="89.85546875" bestFit="1" customWidth="1"/>
    <col min="3329" max="3329" width="21.85546875" bestFit="1" customWidth="1"/>
    <col min="3330" max="3330" width="3.5703125" bestFit="1" customWidth="1"/>
    <col min="3331" max="3331" width="89.85546875" bestFit="1" customWidth="1"/>
    <col min="3585" max="3585" width="21.85546875" bestFit="1" customWidth="1"/>
    <col min="3586" max="3586" width="3.5703125" bestFit="1" customWidth="1"/>
    <col min="3587" max="3587" width="89.85546875" bestFit="1" customWidth="1"/>
    <col min="3841" max="3841" width="21.85546875" bestFit="1" customWidth="1"/>
    <col min="3842" max="3842" width="3.5703125" bestFit="1" customWidth="1"/>
    <col min="3843" max="3843" width="89.85546875" bestFit="1" customWidth="1"/>
    <col min="4097" max="4097" width="21.85546875" bestFit="1" customWidth="1"/>
    <col min="4098" max="4098" width="3.5703125" bestFit="1" customWidth="1"/>
    <col min="4099" max="4099" width="89.85546875" bestFit="1" customWidth="1"/>
    <col min="4353" max="4353" width="21.85546875" bestFit="1" customWidth="1"/>
    <col min="4354" max="4354" width="3.5703125" bestFit="1" customWidth="1"/>
    <col min="4355" max="4355" width="89.85546875" bestFit="1" customWidth="1"/>
    <col min="4609" max="4609" width="21.85546875" bestFit="1" customWidth="1"/>
    <col min="4610" max="4610" width="3.5703125" bestFit="1" customWidth="1"/>
    <col min="4611" max="4611" width="89.85546875" bestFit="1" customWidth="1"/>
    <col min="4865" max="4865" width="21.85546875" bestFit="1" customWidth="1"/>
    <col min="4866" max="4866" width="3.5703125" bestFit="1" customWidth="1"/>
    <col min="4867" max="4867" width="89.85546875" bestFit="1" customWidth="1"/>
    <col min="5121" max="5121" width="21.85546875" bestFit="1" customWidth="1"/>
    <col min="5122" max="5122" width="3.5703125" bestFit="1" customWidth="1"/>
    <col min="5123" max="5123" width="89.85546875" bestFit="1" customWidth="1"/>
    <col min="5377" max="5377" width="21.85546875" bestFit="1" customWidth="1"/>
    <col min="5378" max="5378" width="3.5703125" bestFit="1" customWidth="1"/>
    <col min="5379" max="5379" width="89.85546875" bestFit="1" customWidth="1"/>
    <col min="5633" max="5633" width="21.85546875" bestFit="1" customWidth="1"/>
    <col min="5634" max="5634" width="3.5703125" bestFit="1" customWidth="1"/>
    <col min="5635" max="5635" width="89.85546875" bestFit="1" customWidth="1"/>
    <col min="5889" max="5889" width="21.85546875" bestFit="1" customWidth="1"/>
    <col min="5890" max="5890" width="3.5703125" bestFit="1" customWidth="1"/>
    <col min="5891" max="5891" width="89.85546875" bestFit="1" customWidth="1"/>
    <col min="6145" max="6145" width="21.85546875" bestFit="1" customWidth="1"/>
    <col min="6146" max="6146" width="3.5703125" bestFit="1" customWidth="1"/>
    <col min="6147" max="6147" width="89.85546875" bestFit="1" customWidth="1"/>
    <col min="6401" max="6401" width="21.85546875" bestFit="1" customWidth="1"/>
    <col min="6402" max="6402" width="3.5703125" bestFit="1" customWidth="1"/>
    <col min="6403" max="6403" width="89.85546875" bestFit="1" customWidth="1"/>
    <col min="6657" max="6657" width="21.85546875" bestFit="1" customWidth="1"/>
    <col min="6658" max="6658" width="3.5703125" bestFit="1" customWidth="1"/>
    <col min="6659" max="6659" width="89.85546875" bestFit="1" customWidth="1"/>
    <col min="6913" max="6913" width="21.85546875" bestFit="1" customWidth="1"/>
    <col min="6914" max="6914" width="3.5703125" bestFit="1" customWidth="1"/>
    <col min="6915" max="6915" width="89.85546875" bestFit="1" customWidth="1"/>
    <col min="7169" max="7169" width="21.85546875" bestFit="1" customWidth="1"/>
    <col min="7170" max="7170" width="3.5703125" bestFit="1" customWidth="1"/>
    <col min="7171" max="7171" width="89.85546875" bestFit="1" customWidth="1"/>
    <col min="7425" max="7425" width="21.85546875" bestFit="1" customWidth="1"/>
    <col min="7426" max="7426" width="3.5703125" bestFit="1" customWidth="1"/>
    <col min="7427" max="7427" width="89.85546875" bestFit="1" customWidth="1"/>
    <col min="7681" max="7681" width="21.85546875" bestFit="1" customWidth="1"/>
    <col min="7682" max="7682" width="3.5703125" bestFit="1" customWidth="1"/>
    <col min="7683" max="7683" width="89.85546875" bestFit="1" customWidth="1"/>
    <col min="7937" max="7937" width="21.85546875" bestFit="1" customWidth="1"/>
    <col min="7938" max="7938" width="3.5703125" bestFit="1" customWidth="1"/>
    <col min="7939" max="7939" width="89.85546875" bestFit="1" customWidth="1"/>
    <col min="8193" max="8193" width="21.85546875" bestFit="1" customWidth="1"/>
    <col min="8194" max="8194" width="3.5703125" bestFit="1" customWidth="1"/>
    <col min="8195" max="8195" width="89.85546875" bestFit="1" customWidth="1"/>
    <col min="8449" max="8449" width="21.85546875" bestFit="1" customWidth="1"/>
    <col min="8450" max="8450" width="3.5703125" bestFit="1" customWidth="1"/>
    <col min="8451" max="8451" width="89.85546875" bestFit="1" customWidth="1"/>
    <col min="8705" max="8705" width="21.85546875" bestFit="1" customWidth="1"/>
    <col min="8706" max="8706" width="3.5703125" bestFit="1" customWidth="1"/>
    <col min="8707" max="8707" width="89.85546875" bestFit="1" customWidth="1"/>
    <col min="8961" max="8961" width="21.85546875" bestFit="1" customWidth="1"/>
    <col min="8962" max="8962" width="3.5703125" bestFit="1" customWidth="1"/>
    <col min="8963" max="8963" width="89.85546875" bestFit="1" customWidth="1"/>
    <col min="9217" max="9217" width="21.85546875" bestFit="1" customWidth="1"/>
    <col min="9218" max="9218" width="3.5703125" bestFit="1" customWidth="1"/>
    <col min="9219" max="9219" width="89.85546875" bestFit="1" customWidth="1"/>
    <col min="9473" max="9473" width="21.85546875" bestFit="1" customWidth="1"/>
    <col min="9474" max="9474" width="3.5703125" bestFit="1" customWidth="1"/>
    <col min="9475" max="9475" width="89.85546875" bestFit="1" customWidth="1"/>
    <col min="9729" max="9729" width="21.85546875" bestFit="1" customWidth="1"/>
    <col min="9730" max="9730" width="3.5703125" bestFit="1" customWidth="1"/>
    <col min="9731" max="9731" width="89.85546875" bestFit="1" customWidth="1"/>
    <col min="9985" max="9985" width="21.85546875" bestFit="1" customWidth="1"/>
    <col min="9986" max="9986" width="3.5703125" bestFit="1" customWidth="1"/>
    <col min="9987" max="9987" width="89.85546875" bestFit="1" customWidth="1"/>
    <col min="10241" max="10241" width="21.85546875" bestFit="1" customWidth="1"/>
    <col min="10242" max="10242" width="3.5703125" bestFit="1" customWidth="1"/>
    <col min="10243" max="10243" width="89.85546875" bestFit="1" customWidth="1"/>
    <col min="10497" max="10497" width="21.85546875" bestFit="1" customWidth="1"/>
    <col min="10498" max="10498" width="3.5703125" bestFit="1" customWidth="1"/>
    <col min="10499" max="10499" width="89.85546875" bestFit="1" customWidth="1"/>
    <col min="10753" max="10753" width="21.85546875" bestFit="1" customWidth="1"/>
    <col min="10754" max="10754" width="3.5703125" bestFit="1" customWidth="1"/>
    <col min="10755" max="10755" width="89.85546875" bestFit="1" customWidth="1"/>
    <col min="11009" max="11009" width="21.85546875" bestFit="1" customWidth="1"/>
    <col min="11010" max="11010" width="3.5703125" bestFit="1" customWidth="1"/>
    <col min="11011" max="11011" width="89.85546875" bestFit="1" customWidth="1"/>
    <col min="11265" max="11265" width="21.85546875" bestFit="1" customWidth="1"/>
    <col min="11266" max="11266" width="3.5703125" bestFit="1" customWidth="1"/>
    <col min="11267" max="11267" width="89.85546875" bestFit="1" customWidth="1"/>
    <col min="11521" max="11521" width="21.85546875" bestFit="1" customWidth="1"/>
    <col min="11522" max="11522" width="3.5703125" bestFit="1" customWidth="1"/>
    <col min="11523" max="11523" width="89.85546875" bestFit="1" customWidth="1"/>
    <col min="11777" max="11777" width="21.85546875" bestFit="1" customWidth="1"/>
    <col min="11778" max="11778" width="3.5703125" bestFit="1" customWidth="1"/>
    <col min="11779" max="11779" width="89.85546875" bestFit="1" customWidth="1"/>
    <col min="12033" max="12033" width="21.85546875" bestFit="1" customWidth="1"/>
    <col min="12034" max="12034" width="3.5703125" bestFit="1" customWidth="1"/>
    <col min="12035" max="12035" width="89.85546875" bestFit="1" customWidth="1"/>
    <col min="12289" max="12289" width="21.85546875" bestFit="1" customWidth="1"/>
    <col min="12290" max="12290" width="3.5703125" bestFit="1" customWidth="1"/>
    <col min="12291" max="12291" width="89.85546875" bestFit="1" customWidth="1"/>
    <col min="12545" max="12545" width="21.85546875" bestFit="1" customWidth="1"/>
    <col min="12546" max="12546" width="3.5703125" bestFit="1" customWidth="1"/>
    <col min="12547" max="12547" width="89.85546875" bestFit="1" customWidth="1"/>
    <col min="12801" max="12801" width="21.85546875" bestFit="1" customWidth="1"/>
    <col min="12802" max="12802" width="3.5703125" bestFit="1" customWidth="1"/>
    <col min="12803" max="12803" width="89.85546875" bestFit="1" customWidth="1"/>
    <col min="13057" max="13057" width="21.85546875" bestFit="1" customWidth="1"/>
    <col min="13058" max="13058" width="3.5703125" bestFit="1" customWidth="1"/>
    <col min="13059" max="13059" width="89.85546875" bestFit="1" customWidth="1"/>
    <col min="13313" max="13313" width="21.85546875" bestFit="1" customWidth="1"/>
    <col min="13314" max="13314" width="3.5703125" bestFit="1" customWidth="1"/>
    <col min="13315" max="13315" width="89.85546875" bestFit="1" customWidth="1"/>
    <col min="13569" max="13569" width="21.85546875" bestFit="1" customWidth="1"/>
    <col min="13570" max="13570" width="3.5703125" bestFit="1" customWidth="1"/>
    <col min="13571" max="13571" width="89.85546875" bestFit="1" customWidth="1"/>
    <col min="13825" max="13825" width="21.85546875" bestFit="1" customWidth="1"/>
    <col min="13826" max="13826" width="3.5703125" bestFit="1" customWidth="1"/>
    <col min="13827" max="13827" width="89.85546875" bestFit="1" customWidth="1"/>
    <col min="14081" max="14081" width="21.85546875" bestFit="1" customWidth="1"/>
    <col min="14082" max="14082" width="3.5703125" bestFit="1" customWidth="1"/>
    <col min="14083" max="14083" width="89.85546875" bestFit="1" customWidth="1"/>
    <col min="14337" max="14337" width="21.85546875" bestFit="1" customWidth="1"/>
    <col min="14338" max="14338" width="3.5703125" bestFit="1" customWidth="1"/>
    <col min="14339" max="14339" width="89.85546875" bestFit="1" customWidth="1"/>
    <col min="14593" max="14593" width="21.85546875" bestFit="1" customWidth="1"/>
    <col min="14594" max="14594" width="3.5703125" bestFit="1" customWidth="1"/>
    <col min="14595" max="14595" width="89.85546875" bestFit="1" customWidth="1"/>
    <col min="14849" max="14849" width="21.85546875" bestFit="1" customWidth="1"/>
    <col min="14850" max="14850" width="3.5703125" bestFit="1" customWidth="1"/>
    <col min="14851" max="14851" width="89.85546875" bestFit="1" customWidth="1"/>
    <col min="15105" max="15105" width="21.85546875" bestFit="1" customWidth="1"/>
    <col min="15106" max="15106" width="3.5703125" bestFit="1" customWidth="1"/>
    <col min="15107" max="15107" width="89.85546875" bestFit="1" customWidth="1"/>
    <col min="15361" max="15361" width="21.85546875" bestFit="1" customWidth="1"/>
    <col min="15362" max="15362" width="3.5703125" bestFit="1" customWidth="1"/>
    <col min="15363" max="15363" width="89.85546875" bestFit="1" customWidth="1"/>
    <col min="15617" max="15617" width="21.85546875" bestFit="1" customWidth="1"/>
    <col min="15618" max="15618" width="3.5703125" bestFit="1" customWidth="1"/>
    <col min="15619" max="15619" width="89.85546875" bestFit="1" customWidth="1"/>
    <col min="15873" max="15873" width="21.85546875" bestFit="1" customWidth="1"/>
    <col min="15874" max="15874" width="3.5703125" bestFit="1" customWidth="1"/>
    <col min="15875" max="15875" width="89.85546875" bestFit="1" customWidth="1"/>
    <col min="16129" max="16129" width="21.85546875" bestFit="1" customWidth="1"/>
    <col min="16130" max="16130" width="3.5703125" bestFit="1" customWidth="1"/>
    <col min="16131" max="16131" width="89.85546875" bestFit="1" customWidth="1"/>
  </cols>
  <sheetData>
    <row r="1" spans="1:4" x14ac:dyDescent="0.2">
      <c r="A1" s="1">
        <f>BOLETA!I40</f>
        <v>792.82118055555554</v>
      </c>
      <c r="B1" s="2">
        <v>4</v>
      </c>
      <c r="C1" s="3" t="str">
        <f>INDEX(C16:C19,B1)</f>
        <v>SETECIENTOS NOVENTA Y DOS NUEVOS SOLES CON 82 CENTIMOS</v>
      </c>
      <c r="D1" s="4"/>
    </row>
    <row r="3" spans="1:4" x14ac:dyDescent="0.2">
      <c r="A3" t="s">
        <v>29</v>
      </c>
      <c r="C3" t="s">
        <v>30</v>
      </c>
    </row>
    <row r="4" spans="1:4" x14ac:dyDescent="0.2">
      <c r="A4" t="s">
        <v>31</v>
      </c>
      <c r="C4" t="s">
        <v>32</v>
      </c>
    </row>
    <row r="5" spans="1:4" x14ac:dyDescent="0.2">
      <c r="A5" t="s">
        <v>33</v>
      </c>
      <c r="C5" t="s">
        <v>34</v>
      </c>
    </row>
    <row r="7" spans="1:4" x14ac:dyDescent="0.2">
      <c r="B7" s="5" t="str">
        <f>TEXT(RIGHT(INT(A1/10^12),3),"000")</f>
        <v>000</v>
      </c>
      <c r="C7" t="str">
        <f>IF(B7="100","cien ",IF(--(B7)&gt;100,INDEX(Centenas,1+LEFT(B7,1))&amp;IF(LEFT(B7,1)="1","o ","os "),""))&amp;IF(--(RIGHT(B7,2))&lt;16,"",IF(--(RIGHT(B7,2))&lt;20,"dieci",IF(RIGHT(B7,2)="20","veinte ",IF(--(RIGHT(B7,2))&lt;30,"veinti",INDEX(Decenas,1+MID(B7,2,1)))))&amp;IF(AND(--(RIGHT(B7,2))&gt;30,RIGHT(B7,1)&lt;&gt;"0"),"y ",""))&amp;IF(OR(--(RIGHT(B7,2))&gt;15,--(RIGHT(B7,2))&lt;10),"",INDEX(Quincenas,RIGHT(B7,2)-8))&amp;IF(OR(--(RIGHT(B7,2))&gt;15,--(RIGHT(B7,2))&lt;10),INDEX(Unidades,1+RIGHT(B7,1))&amp;IF(RIGHT(B7,1)="0",""," "),"")&amp;IF(--(B7)&gt;1,"billones ",IF(B7="001","billón ",""))</f>
        <v/>
      </c>
    </row>
    <row r="8" spans="1:4" x14ac:dyDescent="0.2">
      <c r="B8" s="5" t="str">
        <f>TEXT(RIGHT(INT(A1/10^9),3),"000")</f>
        <v>000</v>
      </c>
      <c r="C8" t="str">
        <f>IF(B8="100","cien ",IF(--(B8)&gt;100,INDEX(Centenas,1+LEFT(B8,1))&amp;IF(LEFT(B8,1)="1","o ","os "),""))&amp;IF(--(RIGHT(B8,2))&lt;16,"",IF(--(RIGHT(B8,2))&lt;20,"dieci",IF(RIGHT(B8,2)="20","veinte ",IF(--(RIGHT(B8,2))&lt;30,"veinti",INDEX(Decenas,1+MID(B8,2,1)))))&amp;IF(AND(--(RIGHT(B8,2))&gt;30,RIGHT(B8,1)&lt;&gt;"0"),"y ",""))&amp;IF(B8="001","",IF(OR(--(RIGHT(B8,2))&gt;15,--(RIGHT(B8,2))&lt;10),"",INDEX(Quincenas,RIGHT(B8,2)-8))&amp;IF(OR(--(RIGHT(B8,2))&gt;15,--(RIGHT(B8,2))&lt;10),INDEX(Unidades,1+RIGHT(B8,1))&amp;IF(B8="000",""," "),""))&amp;IF(B8&lt;&gt;"000","mil ","")</f>
        <v/>
      </c>
    </row>
    <row r="9" spans="1:4" x14ac:dyDescent="0.2">
      <c r="A9" s="6" t="s">
        <v>35</v>
      </c>
      <c r="B9" s="5" t="str">
        <f>TEXT(RIGHT(INT(A1/10^6),3),"000")</f>
        <v>000</v>
      </c>
      <c r="C9" t="str">
        <f>IF(B9="100","cien ",IF(--(B9)&gt;100,INDEX(Centenas,1+LEFT(B9,1))&amp;IF(LEFT(B9,1)="1","o ","os "),""))&amp;IF(--(RIGHT(B9,2))&lt;16,"",IF(--(RIGHT(B9,2))&lt;20,"dieci",IF(RIGHT(B9,2)="20","veinte ",IF(--(RIGHT(B9,2))&lt;30,"veinti",INDEX(Decenas,1+MID(B9,2,1)))))&amp;IF(AND(--(RIGHT(B9,2))&gt;30,RIGHT(B9,1)&lt;&gt;"0"),"y ",""))&amp;IF(OR(--(RIGHT(B9,2))&gt;15,--(RIGHT(B9,2))&lt;10),"",INDEX(Quincenas,RIGHT(B9,2)-8))&amp;IF(OR(--(RIGHT(B9,2))&gt;15,--(RIGHT(B9,2))&lt;10),INDEX(Unidades,1+RIGHT(B9,1))&amp;IF(RIGHT(B9,1)="0",""," "),"")&amp;IF(--(B8&amp;B9)&gt;1,"millones ",IF(B9="001","millón ",""))</f>
        <v/>
      </c>
    </row>
    <row r="10" spans="1:4" x14ac:dyDescent="0.2">
      <c r="A10" s="7" t="s">
        <v>36</v>
      </c>
      <c r="B10" s="5" t="str">
        <f>TEXT(RIGHT(INT(A1/10^3),3),"000")</f>
        <v>000</v>
      </c>
      <c r="C10" t="str">
        <f>IF(B10="100","cien ",IF(--(B10)&gt;100,INDEX(Centenas,1+LEFT(B10,1))&amp;IF(LEFT(B10,1)="1","o ",IF(RIGHT(A11,1)="a","as ","os ")),""))&amp;IF(--(RIGHT(B10,2))&lt;16,"",IF(--(RIGHT(B10,2))&lt;20,"dieci",IF(RIGHT(B10,2)="20","veinte ",IF(--(RIGHT(B10,2))&lt;30,"veinti",INDEX(Decenas,1+MID(B10,2,1)))))&amp;IF(AND(--(RIGHT(B10,2))&gt;30,RIGHT(B10,1)&lt;&gt;"0"),"y ",""))&amp;IF(B10="001","",IF(OR(--(RIGHT(B10,2))&gt;15,--(RIGHT(B10,2))&lt;10),"",INDEX(Quincenas,RIGHT(B10,2)-8))&amp;IF(OR(--(RIGHT(B10,2))&gt;15,--(RIGHT(B10,2))&lt;10),INDEX(Unidades,1+RIGHT(B10,1))&amp;IF(RIGHT(B10,1)="0",""," "),""))&amp;IF(B10&lt;&gt;"000","mil ","")</f>
        <v/>
      </c>
    </row>
    <row r="11" spans="1:4" x14ac:dyDescent="0.2">
      <c r="A11" s="7" t="str">
        <f>LOWER(TRIM(A3))</f>
        <v>nuevo sol</v>
      </c>
      <c r="B11" s="5" t="str">
        <f>TEXT(RIGHT(INT(A1/10^0),3),"000")</f>
        <v>792</v>
      </c>
      <c r="C11" t="str">
        <f>IF(AND(A1&gt;0,A1&lt;1),"cero ",IF(B11="100","cien ",IF(--(B11)&gt;100,INDEX(Centenas,1+LEFT(B11,1))&amp;IF(LEFT(B11,1)="1","o ",IF(RIGHT(A11,1)="a","as ","os ")),""))&amp;IF(--(RIGHT(B11,2))&lt;16,"",IF(--(RIGHT(B11,2))&lt;20,"dieci",IF(RIGHT(B11,2)="20","veinte ",IF(--(RIGHT(B11,2))&lt;30,"veinti",INDEX(Decenas,1+MID(B11,2,1)))))&amp;IF(AND(--(RIGHT(B11,2))&gt;30,RIGHT(B11,1)&lt;&gt;"0"),"y ",""))&amp;IF(OR(--(RIGHT(B11,2))&gt;15,--(RIGHT(B11,2))&lt;10),"",INDEX(Quincenas,RIGHT(B11,2)-8))&amp;IF(OR(--(RIGHT(B11,2))&gt;15,--(RIGHT(B11,2))&lt;10),INDEX(Unidades,1+RIGHT(B11,1))&amp;IF(AND(RIGHT(B11,1)="1",RIGHT(A11,1)="a"),"a",IF(A11="","o",""))&amp;IF(AND(A11&lt;&gt;"",RIGHT(B11,1)&lt;&gt;"0")," ",""),""))</f>
        <v xml:space="preserve">setecientos noventa y dos </v>
      </c>
    </row>
    <row r="12" spans="1:4" x14ac:dyDescent="0.2">
      <c r="A12" s="7" t="str">
        <f>IF(A11="","",IF(ISERROR(FIND(" ",A11)),A11&amp;IF(OR(RIGHT(A11,1)="a",RIGHT(A11,1)="e",RIGHT(A11,1)="o"),"s","es"),LEFT(A11,FIND(" ",A11)-1)&amp;IF(OR(RIGHT(LEFT(A11,FIND(" ",A11)-1),1)="a",RIGHT(LEFT(A11,FIND(" ",A11)-1),1)="e",RIGHT(LEFT(A11,FIND(" ",A11)-1),1)="o"),"s","es")&amp;MID(A11,FIND(" ",A11),200)&amp;IF(OR(RIGHT(MID(A11,FIND(" ",A11),200),1)="a",RIGHT(MID(A11,FIND(" ",A11),200),1)="e",RIGHT(MID(A11,FIND(" ",A11),200),1)="o"),"s","es")))</f>
        <v>nuevos soles</v>
      </c>
      <c r="C12" t="str">
        <f>IF(A12="","",IF(INT(A1)=1,A11,IF(OR(RIGHT(C7&amp;C8&amp;C9&amp;C10&amp;C11,5)="ones ",RIGHT(C7&amp;C8&amp;C9&amp;C10&amp;C11,3)="ón "),"de ","")&amp;A12))</f>
        <v>nuevos soles</v>
      </c>
    </row>
    <row r="13" spans="1:4" x14ac:dyDescent="0.2">
      <c r="A13" s="7" t="str">
        <f>LOWER(TRIM(A4))</f>
        <v>centimo</v>
      </c>
      <c r="B13" s="5" t="str">
        <f>TEXT(ROUND((A1-INT(A1))*100,2),"00")</f>
        <v>82</v>
      </c>
      <c r="C13" t="str">
        <f>IF(OR(B13&lt;&gt;"00",A5="#")," con ","")&amp;IF(A5="#",B13&amp;" ",IF(--(B13)&lt;16,"",IF(--(RIGHT(B13,2))&lt;20,"dieci",IF(B13="20","veinte ",IF(--(B13)&lt;30,"veinti",INDEX(Decenas,1+LEFT(B13,1)))))&amp;IF(AND(--(B13)&gt;30,RIGHT(B13,1)&lt;&gt;"0"),"y ",""))&amp;IF(OR(--(B13)&gt;15,--(B13)&lt;10),"",INDEX(Quincenas,B13-8))&amp;IF(OR(--(B13)&gt;15,--(B13)&lt;10),INDEX(Unidades,1+RIGHT(B13,1))&amp;IF(AND(RIGHT(B13,1)="1",RIGHT(A13,1)="a"),"a","")&amp;" ",""))</f>
        <v xml:space="preserve"> con 82 </v>
      </c>
    </row>
    <row r="14" spans="1:4" x14ac:dyDescent="0.2">
      <c r="A14" s="7" t="str">
        <f>IF(A13="","",IF(ISERROR(FIND(" ",A13)),A13&amp;IF(OR(RIGHT(A13,1)="a",RIGHT(A13,1)="e",RIGHT(A13,1)="o"),"s","es"),LEFT(A13,FIND(" ",A13)-1)&amp;IF(OR(RIGHT(LEFT(A13,FIND(" ",A13)-1),1)="a",RIGHT(LEFT(A13,FIND(" ",A13)-1),1)="e",RIGHT(LEFT(A13,FIND(" ",A13)-1),1)="o"),"s","es")&amp;MID(A13,FIND(" ",A13),200)&amp;IF(OR(RIGHT(MID(A13,FIND(" ",A13),200),1)="a",RIGHT(MID(A13,FIND(" ",A13),200),1)="e",RIGHT(MID(A13,FIND(" ",A13),200),1)="o"),"s","es")))</f>
        <v>centimos</v>
      </c>
      <c r="C14" t="str">
        <f>IF(OR(A14="",AND(B13="00",A5&lt;&gt;"#")),"",IF(B13="01",A13,A14))</f>
        <v>centimos</v>
      </c>
    </row>
    <row r="16" spans="1:4" x14ac:dyDescent="0.2">
      <c r="A16" t="s">
        <v>37</v>
      </c>
      <c r="B16" t="s">
        <v>38</v>
      </c>
      <c r="C16" t="str">
        <f>C7&amp;C8&amp;C9&amp;C10&amp;C11&amp;C12&amp;C13&amp;C14</f>
        <v>setecientos noventa y dos nuevos soles con 82 centimos</v>
      </c>
    </row>
    <row r="17" spans="1:3" x14ac:dyDescent="0.2">
      <c r="A17" t="s">
        <v>39</v>
      </c>
      <c r="B17" t="s">
        <v>40</v>
      </c>
      <c r="C17" t="str">
        <f>UPPER(LEFT(C16,1))&amp;MID(C16,2,2048)</f>
        <v>Setecientos noventa y dos nuevos soles con 82 centimos</v>
      </c>
    </row>
    <row r="18" spans="1:3" x14ac:dyDescent="0.2">
      <c r="A18" t="s">
        <v>41</v>
      </c>
      <c r="B18" t="s">
        <v>42</v>
      </c>
      <c r="C18" t="str">
        <f>SUBSTITUTE(SUBSTITUTE(SUBSTITUTE(PROPER(C16)," Y "," y ")," Con "," con ")," De "," de ")</f>
        <v>Setecientos Noventa y Dos Nuevos Soles con 82 Centimos</v>
      </c>
    </row>
    <row r="19" spans="1:3" x14ac:dyDescent="0.2">
      <c r="A19" t="s">
        <v>43</v>
      </c>
      <c r="B19" t="s">
        <v>44</v>
      </c>
      <c r="C19" t="str">
        <f>UPPER(C16)</f>
        <v>SETECIENTOS NOVENTA Y DOS NUEVOS SOLES CON 82 CENTIMOS</v>
      </c>
    </row>
    <row r="21" spans="1:3" x14ac:dyDescent="0.2">
      <c r="A21" s="5" t="s">
        <v>45</v>
      </c>
      <c r="C21" t="s">
        <v>46</v>
      </c>
    </row>
    <row r="22" spans="1:3" x14ac:dyDescent="0.2">
      <c r="A22" s="5" t="s">
        <v>47</v>
      </c>
      <c r="C22" t="s">
        <v>48</v>
      </c>
    </row>
    <row r="23" spans="1:3" x14ac:dyDescent="0.2">
      <c r="A23" s="5" t="s">
        <v>49</v>
      </c>
      <c r="C23" t="s">
        <v>50</v>
      </c>
    </row>
    <row r="24" spans="1:3" x14ac:dyDescent="0.2">
      <c r="A24" s="5" t="s">
        <v>51</v>
      </c>
      <c r="C24" t="s">
        <v>52</v>
      </c>
    </row>
  </sheetData>
  <dataValidations count="1">
    <dataValidation type="whole" allowBlank="1" showInputMessage="1" showErrorMessage="1" errorTitle="ERROR !!! &lt;\°|°/&gt;" error="Selecciona entre 1 y 4" promptTitle="Tipo de &quot;salida&quot;" prompt="Selecciona entre 1 y 4" sqref="B1 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B65537 IX65537 ST65537 ACP65537 AML65537 AWH65537 BGD65537 BPZ65537 BZV65537 CJR65537 CTN65537 DDJ65537 DNF65537 DXB65537 EGX65537 EQT65537 FAP65537 FKL65537 FUH65537 GED65537 GNZ65537 GXV65537 HHR65537 HRN65537 IBJ65537 ILF65537 IVB65537 JEX65537 JOT65537 JYP65537 KIL65537 KSH65537 LCD65537 LLZ65537 LVV65537 MFR65537 MPN65537 MZJ65537 NJF65537 NTB65537 OCX65537 OMT65537 OWP65537 PGL65537 PQH65537 QAD65537 QJZ65537 QTV65537 RDR65537 RNN65537 RXJ65537 SHF65537 SRB65537 TAX65537 TKT65537 TUP65537 UEL65537 UOH65537 UYD65537 VHZ65537 VRV65537 WBR65537 WLN65537 WVJ65537 B131073 IX131073 ST131073 ACP131073 AML131073 AWH131073 BGD131073 BPZ131073 BZV131073 CJR131073 CTN131073 DDJ131073 DNF131073 DXB131073 EGX131073 EQT131073 FAP131073 FKL131073 FUH131073 GED131073 GNZ131073 GXV131073 HHR131073 HRN131073 IBJ131073 ILF131073 IVB131073 JEX131073 JOT131073 JYP131073 KIL131073 KSH131073 LCD131073 LLZ131073 LVV131073 MFR131073 MPN131073 MZJ131073 NJF131073 NTB131073 OCX131073 OMT131073 OWP131073 PGL131073 PQH131073 QAD131073 QJZ131073 QTV131073 RDR131073 RNN131073 RXJ131073 SHF131073 SRB131073 TAX131073 TKT131073 TUP131073 UEL131073 UOH131073 UYD131073 VHZ131073 VRV131073 WBR131073 WLN131073 WVJ131073 B196609 IX196609 ST196609 ACP196609 AML196609 AWH196609 BGD196609 BPZ196609 BZV196609 CJR196609 CTN196609 DDJ196609 DNF196609 DXB196609 EGX196609 EQT196609 FAP196609 FKL196609 FUH196609 GED196609 GNZ196609 GXV196609 HHR196609 HRN196609 IBJ196609 ILF196609 IVB196609 JEX196609 JOT196609 JYP196609 KIL196609 KSH196609 LCD196609 LLZ196609 LVV196609 MFR196609 MPN196609 MZJ196609 NJF196609 NTB196609 OCX196609 OMT196609 OWP196609 PGL196609 PQH196609 QAD196609 QJZ196609 QTV196609 RDR196609 RNN196609 RXJ196609 SHF196609 SRB196609 TAX196609 TKT196609 TUP196609 UEL196609 UOH196609 UYD196609 VHZ196609 VRV196609 WBR196609 WLN196609 WVJ196609 B262145 IX262145 ST262145 ACP262145 AML262145 AWH262145 BGD262145 BPZ262145 BZV262145 CJR262145 CTN262145 DDJ262145 DNF262145 DXB262145 EGX262145 EQT262145 FAP262145 FKL262145 FUH262145 GED262145 GNZ262145 GXV262145 HHR262145 HRN262145 IBJ262145 ILF262145 IVB262145 JEX262145 JOT262145 JYP262145 KIL262145 KSH262145 LCD262145 LLZ262145 LVV262145 MFR262145 MPN262145 MZJ262145 NJF262145 NTB262145 OCX262145 OMT262145 OWP262145 PGL262145 PQH262145 QAD262145 QJZ262145 QTV262145 RDR262145 RNN262145 RXJ262145 SHF262145 SRB262145 TAX262145 TKT262145 TUP262145 UEL262145 UOH262145 UYD262145 VHZ262145 VRV262145 WBR262145 WLN262145 WVJ262145 B327681 IX327681 ST327681 ACP327681 AML327681 AWH327681 BGD327681 BPZ327681 BZV327681 CJR327681 CTN327681 DDJ327681 DNF327681 DXB327681 EGX327681 EQT327681 FAP327681 FKL327681 FUH327681 GED327681 GNZ327681 GXV327681 HHR327681 HRN327681 IBJ327681 ILF327681 IVB327681 JEX327681 JOT327681 JYP327681 KIL327681 KSH327681 LCD327681 LLZ327681 LVV327681 MFR327681 MPN327681 MZJ327681 NJF327681 NTB327681 OCX327681 OMT327681 OWP327681 PGL327681 PQH327681 QAD327681 QJZ327681 QTV327681 RDR327681 RNN327681 RXJ327681 SHF327681 SRB327681 TAX327681 TKT327681 TUP327681 UEL327681 UOH327681 UYD327681 VHZ327681 VRV327681 WBR327681 WLN327681 WVJ327681 B393217 IX393217 ST393217 ACP393217 AML393217 AWH393217 BGD393217 BPZ393217 BZV393217 CJR393217 CTN393217 DDJ393217 DNF393217 DXB393217 EGX393217 EQT393217 FAP393217 FKL393217 FUH393217 GED393217 GNZ393217 GXV393217 HHR393217 HRN393217 IBJ393217 ILF393217 IVB393217 JEX393217 JOT393217 JYP393217 KIL393217 KSH393217 LCD393217 LLZ393217 LVV393217 MFR393217 MPN393217 MZJ393217 NJF393217 NTB393217 OCX393217 OMT393217 OWP393217 PGL393217 PQH393217 QAD393217 QJZ393217 QTV393217 RDR393217 RNN393217 RXJ393217 SHF393217 SRB393217 TAX393217 TKT393217 TUP393217 UEL393217 UOH393217 UYD393217 VHZ393217 VRV393217 WBR393217 WLN393217 WVJ393217 B458753 IX458753 ST458753 ACP458753 AML458753 AWH458753 BGD458753 BPZ458753 BZV458753 CJR458753 CTN458753 DDJ458753 DNF458753 DXB458753 EGX458753 EQT458753 FAP458753 FKL458753 FUH458753 GED458753 GNZ458753 GXV458753 HHR458753 HRN458753 IBJ458753 ILF458753 IVB458753 JEX458753 JOT458753 JYP458753 KIL458753 KSH458753 LCD458753 LLZ458753 LVV458753 MFR458753 MPN458753 MZJ458753 NJF458753 NTB458753 OCX458753 OMT458753 OWP458753 PGL458753 PQH458753 QAD458753 QJZ458753 QTV458753 RDR458753 RNN458753 RXJ458753 SHF458753 SRB458753 TAX458753 TKT458753 TUP458753 UEL458753 UOH458753 UYD458753 VHZ458753 VRV458753 WBR458753 WLN458753 WVJ458753 B524289 IX524289 ST524289 ACP524289 AML524289 AWH524289 BGD524289 BPZ524289 BZV524289 CJR524289 CTN524289 DDJ524289 DNF524289 DXB524289 EGX524289 EQT524289 FAP524289 FKL524289 FUH524289 GED524289 GNZ524289 GXV524289 HHR524289 HRN524289 IBJ524289 ILF524289 IVB524289 JEX524289 JOT524289 JYP524289 KIL524289 KSH524289 LCD524289 LLZ524289 LVV524289 MFR524289 MPN524289 MZJ524289 NJF524289 NTB524289 OCX524289 OMT524289 OWP524289 PGL524289 PQH524289 QAD524289 QJZ524289 QTV524289 RDR524289 RNN524289 RXJ524289 SHF524289 SRB524289 TAX524289 TKT524289 TUP524289 UEL524289 UOH524289 UYD524289 VHZ524289 VRV524289 WBR524289 WLN524289 WVJ524289 B589825 IX589825 ST589825 ACP589825 AML589825 AWH589825 BGD589825 BPZ589825 BZV589825 CJR589825 CTN589825 DDJ589825 DNF589825 DXB589825 EGX589825 EQT589825 FAP589825 FKL589825 FUH589825 GED589825 GNZ589825 GXV589825 HHR589825 HRN589825 IBJ589825 ILF589825 IVB589825 JEX589825 JOT589825 JYP589825 KIL589825 KSH589825 LCD589825 LLZ589825 LVV589825 MFR589825 MPN589825 MZJ589825 NJF589825 NTB589825 OCX589825 OMT589825 OWP589825 PGL589825 PQH589825 QAD589825 QJZ589825 QTV589825 RDR589825 RNN589825 RXJ589825 SHF589825 SRB589825 TAX589825 TKT589825 TUP589825 UEL589825 UOH589825 UYD589825 VHZ589825 VRV589825 WBR589825 WLN589825 WVJ589825 B655361 IX655361 ST655361 ACP655361 AML655361 AWH655361 BGD655361 BPZ655361 BZV655361 CJR655361 CTN655361 DDJ655361 DNF655361 DXB655361 EGX655361 EQT655361 FAP655361 FKL655361 FUH655361 GED655361 GNZ655361 GXV655361 HHR655361 HRN655361 IBJ655361 ILF655361 IVB655361 JEX655361 JOT655361 JYP655361 KIL655361 KSH655361 LCD655361 LLZ655361 LVV655361 MFR655361 MPN655361 MZJ655361 NJF655361 NTB655361 OCX655361 OMT655361 OWP655361 PGL655361 PQH655361 QAD655361 QJZ655361 QTV655361 RDR655361 RNN655361 RXJ655361 SHF655361 SRB655361 TAX655361 TKT655361 TUP655361 UEL655361 UOH655361 UYD655361 VHZ655361 VRV655361 WBR655361 WLN655361 WVJ655361 B720897 IX720897 ST720897 ACP720897 AML720897 AWH720897 BGD720897 BPZ720897 BZV720897 CJR720897 CTN720897 DDJ720897 DNF720897 DXB720897 EGX720897 EQT720897 FAP720897 FKL720897 FUH720897 GED720897 GNZ720897 GXV720897 HHR720897 HRN720897 IBJ720897 ILF720897 IVB720897 JEX720897 JOT720897 JYP720897 KIL720897 KSH720897 LCD720897 LLZ720897 LVV720897 MFR720897 MPN720897 MZJ720897 NJF720897 NTB720897 OCX720897 OMT720897 OWP720897 PGL720897 PQH720897 QAD720897 QJZ720897 QTV720897 RDR720897 RNN720897 RXJ720897 SHF720897 SRB720897 TAX720897 TKT720897 TUP720897 UEL720897 UOH720897 UYD720897 VHZ720897 VRV720897 WBR720897 WLN720897 WVJ720897 B786433 IX786433 ST786433 ACP786433 AML786433 AWH786433 BGD786433 BPZ786433 BZV786433 CJR786433 CTN786433 DDJ786433 DNF786433 DXB786433 EGX786433 EQT786433 FAP786433 FKL786433 FUH786433 GED786433 GNZ786433 GXV786433 HHR786433 HRN786433 IBJ786433 ILF786433 IVB786433 JEX786433 JOT786433 JYP786433 KIL786433 KSH786433 LCD786433 LLZ786433 LVV786433 MFR786433 MPN786433 MZJ786433 NJF786433 NTB786433 OCX786433 OMT786433 OWP786433 PGL786433 PQH786433 QAD786433 QJZ786433 QTV786433 RDR786433 RNN786433 RXJ786433 SHF786433 SRB786433 TAX786433 TKT786433 TUP786433 UEL786433 UOH786433 UYD786433 VHZ786433 VRV786433 WBR786433 WLN786433 WVJ786433 B851969 IX851969 ST851969 ACP851969 AML851969 AWH851969 BGD851969 BPZ851969 BZV851969 CJR851969 CTN851969 DDJ851969 DNF851969 DXB851969 EGX851969 EQT851969 FAP851969 FKL851969 FUH851969 GED851969 GNZ851969 GXV851969 HHR851969 HRN851969 IBJ851969 ILF851969 IVB851969 JEX851969 JOT851969 JYP851969 KIL851969 KSH851969 LCD851969 LLZ851969 LVV851969 MFR851969 MPN851969 MZJ851969 NJF851969 NTB851969 OCX851969 OMT851969 OWP851969 PGL851969 PQH851969 QAD851969 QJZ851969 QTV851969 RDR851969 RNN851969 RXJ851969 SHF851969 SRB851969 TAX851969 TKT851969 TUP851969 UEL851969 UOH851969 UYD851969 VHZ851969 VRV851969 WBR851969 WLN851969 WVJ851969 B917505 IX917505 ST917505 ACP917505 AML917505 AWH917505 BGD917505 BPZ917505 BZV917505 CJR917505 CTN917505 DDJ917505 DNF917505 DXB917505 EGX917505 EQT917505 FAP917505 FKL917505 FUH917505 GED917505 GNZ917505 GXV917505 HHR917505 HRN917505 IBJ917505 ILF917505 IVB917505 JEX917505 JOT917505 JYP917505 KIL917505 KSH917505 LCD917505 LLZ917505 LVV917505 MFR917505 MPN917505 MZJ917505 NJF917505 NTB917505 OCX917505 OMT917505 OWP917505 PGL917505 PQH917505 QAD917505 QJZ917505 QTV917505 RDR917505 RNN917505 RXJ917505 SHF917505 SRB917505 TAX917505 TKT917505 TUP917505 UEL917505 UOH917505 UYD917505 VHZ917505 VRV917505 WBR917505 WLN917505 WVJ917505 B983041 IX983041 ST983041 ACP983041 AML983041 AWH983041 BGD983041 BPZ983041 BZV983041 CJR983041 CTN983041 DDJ983041 DNF983041 DXB983041 EGX983041 EQT983041 FAP983041 FKL983041 FUH983041 GED983041 GNZ983041 GXV983041 HHR983041 HRN983041 IBJ983041 ILF983041 IVB983041 JEX983041 JOT983041 JYP983041 KIL983041 KSH983041 LCD983041 LLZ983041 LVV983041 MFR983041 MPN983041 MZJ983041 NJF983041 NTB983041 OCX983041 OMT983041 OWP983041 PGL983041 PQH983041 QAD983041 QJZ983041 QTV983041 RDR983041 RNN983041 RXJ983041 SHF983041 SRB983041 TAX983041 TKT983041 TUP983041 UEL983041 UOH983041 UYD983041 VHZ983041 VRV983041 WBR983041 WLN983041 WVJ983041">
      <formula1>1</formula1>
      <formula2>4</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TABLAS</vt:lpstr>
      <vt:lpstr>BOLETA</vt:lpstr>
      <vt:lpstr>Hoja1</vt:lpstr>
      <vt:lpstr>BOLETA!Área_de_impresión</vt:lpstr>
      <vt:lpstr>REGIMEN</vt:lpstr>
      <vt:lpstr>TAB</vt:lpstr>
    </vt:vector>
  </TitlesOfParts>
  <Company>Vision C.B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Basilio Salas Baylon</dc:creator>
  <cp:lastModifiedBy>USUARIO</cp:lastModifiedBy>
  <cp:lastPrinted>2016-11-05T22:01:57Z</cp:lastPrinted>
  <dcterms:created xsi:type="dcterms:W3CDTF">2004-09-09T15:23:32Z</dcterms:created>
  <dcterms:modified xsi:type="dcterms:W3CDTF">2016-11-05T22:26:08Z</dcterms:modified>
</cp:coreProperties>
</file>